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0c1681bdc5825f4/Documents/Synod/Financial/FY2023-2024 Financial/"/>
    </mc:Choice>
  </mc:AlternateContent>
  <xr:revisionPtr revIDLastSave="0" documentId="8_{1ECC4EB6-535B-4C67-A857-3C1BD2A6F484}" xr6:coauthVersionLast="47" xr6:coauthVersionMax="47" xr10:uidLastSave="{00000000-0000-0000-0000-000000000000}"/>
  <workbookProtection workbookAlgorithmName="SHA-512" workbookHashValue="W5MUaAK8hGI0/WmAPSc3OPBRh6FIHNR+Y7dAHLrhb+nwaeofLVDtDBCBjVntG9kr3lUSmOmaH6eK5QPY8YQsAQ==" workbookSaltValue="AAk/FaiwtACmaB5uInjWZA==" workbookSpinCount="100000" lockStructure="1"/>
  <bookViews>
    <workbookView xWindow="-108" yWindow="-108" windowWidth="23256" windowHeight="12456" xr2:uid="{23005E33-8BCF-4542-8534-17BBABDA7787}"/>
  </bookViews>
  <sheets>
    <sheet name="Total - All funds" sheetId="1" r:id="rId1"/>
    <sheet name="Operating Fund" sheetId="8" r:id="rId2"/>
  </sheets>
  <definedNames>
    <definedName name="_xlnm._FilterDatabase" localSheetId="1" hidden="1">'Operating Fund'!$A$92:$AC$199</definedName>
    <definedName name="_xlnm._FilterDatabase" localSheetId="0" hidden="1">'Total - All funds'!$A$96:$AH$204</definedName>
    <definedName name="_xlnm.Print_Area" localSheetId="1">'Operating Fund'!$A$1:$I$213</definedName>
    <definedName name="_xlnm.Print_Area" localSheetId="0">'Total - All funds'!$A$4:$L$220</definedName>
    <definedName name="_xlnm.Print_Titles" localSheetId="1">'Operating Fund'!$1:$5</definedName>
    <definedName name="_xlnm.Print_Titles" localSheetId="0">'Total - All funds'!$1:$5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9" i="8" l="1"/>
  <c r="D86" i="8"/>
  <c r="D9" i="8"/>
  <c r="E51" i="8" l="1"/>
  <c r="E208" i="8"/>
  <c r="E94" i="8"/>
  <c r="E190" i="8"/>
  <c r="E153" i="8"/>
  <c r="E148" i="8"/>
  <c r="E141" i="8"/>
  <c r="H131" i="8"/>
  <c r="E134" i="8"/>
  <c r="F131" i="8"/>
  <c r="E119" i="8"/>
  <c r="E112" i="8"/>
  <c r="F48" i="8"/>
  <c r="E41" i="8"/>
  <c r="E73" i="8" s="1"/>
  <c r="E90" i="8" s="1"/>
  <c r="E205" i="8" l="1"/>
  <c r="E198" i="8"/>
  <c r="E211" i="8" s="1"/>
  <c r="E181" i="1" l="1"/>
  <c r="E215" i="1"/>
  <c r="E195" i="1"/>
  <c r="E162" i="1"/>
  <c r="E152" i="1"/>
  <c r="E146" i="1"/>
  <c r="E139" i="1"/>
  <c r="E128" i="1"/>
  <c r="H136" i="1"/>
  <c r="F136" i="1"/>
  <c r="E148" i="1"/>
  <c r="L123" i="1"/>
  <c r="K123" i="1"/>
  <c r="J123" i="1"/>
  <c r="H123" i="1"/>
  <c r="F123" i="1"/>
  <c r="E118" i="1"/>
  <c r="E53" i="1"/>
  <c r="H83" i="1" l="1"/>
  <c r="F83" i="1"/>
  <c r="F73" i="1"/>
  <c r="H73" i="1"/>
  <c r="E59" i="1"/>
  <c r="H49" i="1"/>
  <c r="F49" i="1"/>
  <c r="H39" i="1"/>
  <c r="F39" i="1"/>
  <c r="H36" i="1"/>
  <c r="F36" i="1"/>
  <c r="D39" i="8" l="1"/>
  <c r="F39" i="8" s="1"/>
  <c r="D32" i="8"/>
  <c r="F32" i="8" s="1"/>
  <c r="F9" i="8"/>
  <c r="J73" i="1"/>
  <c r="K73" i="1"/>
  <c r="M211" i="1"/>
  <c r="L11" i="1"/>
  <c r="J9" i="1"/>
  <c r="K183" i="1"/>
  <c r="K118" i="1"/>
  <c r="M214" i="1" l="1"/>
  <c r="J214" i="1" s="1"/>
  <c r="G215" i="1"/>
  <c r="G214" i="1"/>
  <c r="G41" i="8"/>
  <c r="G39" i="8"/>
  <c r="G188" i="8"/>
  <c r="G198" i="8" s="1"/>
  <c r="G208" i="8"/>
  <c r="G207" i="8"/>
  <c r="G206" i="8"/>
  <c r="N188" i="8"/>
  <c r="D188" i="8" s="1"/>
  <c r="F188" i="8" s="1"/>
  <c r="Q193" i="1"/>
  <c r="Q189" i="1"/>
  <c r="AC208" i="8"/>
  <c r="AB208" i="8"/>
  <c r="AA208" i="8"/>
  <c r="Z208" i="8"/>
  <c r="Y208" i="8"/>
  <c r="X208" i="8"/>
  <c r="W208" i="8"/>
  <c r="V208" i="8"/>
  <c r="U208" i="8"/>
  <c r="T208" i="8"/>
  <c r="S208" i="8"/>
  <c r="R208" i="8"/>
  <c r="Q208" i="8"/>
  <c r="P208" i="8"/>
  <c r="O208" i="8"/>
  <c r="N208" i="8"/>
  <c r="M208" i="8"/>
  <c r="L208" i="8"/>
  <c r="K208" i="8"/>
  <c r="AC207" i="8"/>
  <c r="AB207" i="8"/>
  <c r="AA207" i="8"/>
  <c r="Z207" i="8"/>
  <c r="Y207" i="8"/>
  <c r="X207" i="8"/>
  <c r="W207" i="8"/>
  <c r="V207" i="8"/>
  <c r="U207" i="8"/>
  <c r="T207" i="8"/>
  <c r="S207" i="8"/>
  <c r="R207" i="8"/>
  <c r="Q207" i="8"/>
  <c r="P207" i="8"/>
  <c r="O207" i="8"/>
  <c r="N207" i="8"/>
  <c r="M207" i="8"/>
  <c r="L207" i="8"/>
  <c r="J207" i="8"/>
  <c r="AC206" i="8"/>
  <c r="AB206" i="8"/>
  <c r="AA206" i="8"/>
  <c r="Z206" i="8"/>
  <c r="Y206" i="8"/>
  <c r="X206" i="8"/>
  <c r="W206" i="8"/>
  <c r="V206" i="8"/>
  <c r="U206" i="8"/>
  <c r="T206" i="8"/>
  <c r="S206" i="8"/>
  <c r="R206" i="8"/>
  <c r="Q206" i="8"/>
  <c r="P206" i="8"/>
  <c r="O206" i="8"/>
  <c r="N206" i="8"/>
  <c r="M206" i="8"/>
  <c r="L206" i="8"/>
  <c r="K206" i="8"/>
  <c r="J206" i="8"/>
  <c r="AC205" i="8"/>
  <c r="AB205" i="8"/>
  <c r="AA205" i="8"/>
  <c r="Z205" i="8"/>
  <c r="Y205" i="8"/>
  <c r="W205" i="8"/>
  <c r="V205" i="8"/>
  <c r="U205" i="8"/>
  <c r="T205" i="8"/>
  <c r="S205" i="8"/>
  <c r="R205" i="8"/>
  <c r="P205" i="8"/>
  <c r="O205" i="8"/>
  <c r="N205" i="8"/>
  <c r="K205" i="8"/>
  <c r="AC198" i="8"/>
  <c r="AC211" i="8" s="1"/>
  <c r="V198" i="8"/>
  <c r="V211" i="8" s="1"/>
  <c r="R198" i="8"/>
  <c r="R211" i="8" s="1"/>
  <c r="Q198" i="8"/>
  <c r="Q211" i="8" s="1"/>
  <c r="K198" i="8"/>
  <c r="K211" i="8" s="1"/>
  <c r="D196" i="8"/>
  <c r="D195" i="8"/>
  <c r="D194" i="8"/>
  <c r="D193" i="8"/>
  <c r="D192" i="8"/>
  <c r="D191" i="8"/>
  <c r="D190" i="8"/>
  <c r="D189" i="8"/>
  <c r="D185" i="8"/>
  <c r="D184" i="8"/>
  <c r="D183" i="8"/>
  <c r="D180" i="8"/>
  <c r="D179" i="8"/>
  <c r="D178" i="8"/>
  <c r="D177" i="8"/>
  <c r="D176" i="8"/>
  <c r="D175" i="8"/>
  <c r="D174" i="8"/>
  <c r="D173" i="8"/>
  <c r="D172" i="8"/>
  <c r="AA169" i="8"/>
  <c r="D169" i="8" s="1"/>
  <c r="D168" i="8"/>
  <c r="AA167" i="8"/>
  <c r="D167" i="8" s="1"/>
  <c r="D164" i="8"/>
  <c r="D163" i="8"/>
  <c r="D162" i="8"/>
  <c r="AA159" i="8"/>
  <c r="L159" i="8"/>
  <c r="O158" i="8"/>
  <c r="D158" i="8" s="1"/>
  <c r="AA157" i="8"/>
  <c r="O157" i="8"/>
  <c r="D154" i="8"/>
  <c r="D153" i="8"/>
  <c r="D152" i="8"/>
  <c r="D151" i="8"/>
  <c r="D150" i="8"/>
  <c r="F150" i="8" s="1"/>
  <c r="D149" i="8"/>
  <c r="AA148" i="8"/>
  <c r="D148" i="8" s="1"/>
  <c r="Z147" i="8"/>
  <c r="D147" i="8" s="1"/>
  <c r="D144" i="8"/>
  <c r="O143" i="8"/>
  <c r="D143" i="8" s="1"/>
  <c r="F143" i="8" s="1"/>
  <c r="L142" i="8"/>
  <c r="D142" i="8" s="1"/>
  <c r="D141" i="8"/>
  <c r="D140" i="8"/>
  <c r="D139" i="8"/>
  <c r="D138" i="8"/>
  <c r="W137" i="8"/>
  <c r="D137" i="8" s="1"/>
  <c r="D136" i="8"/>
  <c r="H136" i="8" s="1"/>
  <c r="D135" i="8"/>
  <c r="U134" i="8"/>
  <c r="U198" i="8" s="1"/>
  <c r="U211" i="8" s="1"/>
  <c r="D132" i="8"/>
  <c r="D130" i="8"/>
  <c r="D129" i="8"/>
  <c r="D128" i="8"/>
  <c r="D127" i="8"/>
  <c r="T126" i="8"/>
  <c r="T198" i="8" s="1"/>
  <c r="T211" i="8" s="1"/>
  <c r="D125" i="8"/>
  <c r="D124" i="8"/>
  <c r="D123" i="8"/>
  <c r="AA119" i="8"/>
  <c r="D119" i="8" s="1"/>
  <c r="D118" i="8"/>
  <c r="D117" i="8"/>
  <c r="D116" i="8"/>
  <c r="D115" i="8"/>
  <c r="F115" i="8" s="1"/>
  <c r="D114" i="8"/>
  <c r="D113" i="8"/>
  <c r="D112" i="8"/>
  <c r="Z111" i="8"/>
  <c r="D111" i="8" s="1"/>
  <c r="D110" i="8"/>
  <c r="D109" i="8"/>
  <c r="AA106" i="8"/>
  <c r="Z106" i="8"/>
  <c r="Y105" i="8"/>
  <c r="D105" i="8" s="1"/>
  <c r="AB104" i="8"/>
  <c r="AB198" i="8" s="1"/>
  <c r="AB211" i="8" s="1"/>
  <c r="AA104" i="8"/>
  <c r="Z104" i="8"/>
  <c r="Y104" i="8"/>
  <c r="X104" i="8"/>
  <c r="X198" i="8" s="1"/>
  <c r="X211" i="8" s="1"/>
  <c r="S104" i="8"/>
  <c r="P104" i="8"/>
  <c r="O104" i="8"/>
  <c r="M104" i="8"/>
  <c r="L104" i="8"/>
  <c r="AA103" i="8"/>
  <c r="Z103" i="8"/>
  <c r="S103" i="8"/>
  <c r="P103" i="8"/>
  <c r="O103" i="8"/>
  <c r="M103" i="8"/>
  <c r="L103" i="8"/>
  <c r="D100" i="8"/>
  <c r="I100" i="8" s="1"/>
  <c r="D99" i="8"/>
  <c r="D98" i="8"/>
  <c r="J97" i="8"/>
  <c r="J198" i="8" s="1"/>
  <c r="J211" i="8" s="1"/>
  <c r="D96" i="8"/>
  <c r="D95" i="8"/>
  <c r="D94" i="8"/>
  <c r="J88" i="8"/>
  <c r="J208" i="8" s="1"/>
  <c r="D87" i="8"/>
  <c r="D83" i="8"/>
  <c r="D82" i="8"/>
  <c r="D81" i="8"/>
  <c r="D80" i="8"/>
  <c r="D79" i="8"/>
  <c r="D78" i="8"/>
  <c r="D77" i="8"/>
  <c r="D76" i="8"/>
  <c r="AC73" i="8"/>
  <c r="AC90" i="8" s="1"/>
  <c r="AB73" i="8"/>
  <c r="AB90" i="8" s="1"/>
  <c r="AA73" i="8"/>
  <c r="AA90" i="8" s="1"/>
  <c r="Z73" i="8"/>
  <c r="Z90" i="8" s="1"/>
  <c r="Y73" i="8"/>
  <c r="Y90" i="8" s="1"/>
  <c r="W73" i="8"/>
  <c r="W90" i="8" s="1"/>
  <c r="V73" i="8"/>
  <c r="V90" i="8" s="1"/>
  <c r="U73" i="8"/>
  <c r="U90" i="8" s="1"/>
  <c r="T73" i="8"/>
  <c r="T90" i="8" s="1"/>
  <c r="S73" i="8"/>
  <c r="S90" i="8" s="1"/>
  <c r="R73" i="8"/>
  <c r="R90" i="8" s="1"/>
  <c r="P73" i="8"/>
  <c r="P90" i="8" s="1"/>
  <c r="O73" i="8"/>
  <c r="O90" i="8" s="1"/>
  <c r="N73" i="8"/>
  <c r="N90" i="8" s="1"/>
  <c r="K73" i="8"/>
  <c r="K90" i="8" s="1"/>
  <c r="D71" i="8"/>
  <c r="F71" i="8" s="1"/>
  <c r="D68" i="8"/>
  <c r="D67" i="8"/>
  <c r="D66" i="8"/>
  <c r="D65" i="8"/>
  <c r="D64" i="8"/>
  <c r="D63" i="8"/>
  <c r="D62" i="8"/>
  <c r="D61" i="8"/>
  <c r="F61" i="8" s="1"/>
  <c r="D60" i="8"/>
  <c r="D59" i="8"/>
  <c r="H59" i="8" s="1"/>
  <c r="D58" i="8"/>
  <c r="H58" i="8" s="1"/>
  <c r="D57" i="8"/>
  <c r="H57" i="8" s="1"/>
  <c r="D55" i="8"/>
  <c r="D54" i="8"/>
  <c r="D53" i="8"/>
  <c r="D52" i="8"/>
  <c r="X51" i="8"/>
  <c r="X205" i="8" s="1"/>
  <c r="J51" i="8"/>
  <c r="D49" i="8"/>
  <c r="D47" i="8"/>
  <c r="D46" i="8"/>
  <c r="D45" i="8"/>
  <c r="D43" i="8"/>
  <c r="D42" i="8"/>
  <c r="D41" i="8"/>
  <c r="F41" i="8" s="1"/>
  <c r="D40" i="8"/>
  <c r="D37" i="8"/>
  <c r="D36" i="8"/>
  <c r="D35" i="8"/>
  <c r="D34" i="8"/>
  <c r="D33" i="8"/>
  <c r="I32" i="8"/>
  <c r="D31" i="8"/>
  <c r="D30" i="8"/>
  <c r="D29" i="8"/>
  <c r="F29" i="8" s="1"/>
  <c r="D28" i="8"/>
  <c r="D27" i="8"/>
  <c r="D26" i="8"/>
  <c r="D25" i="8"/>
  <c r="D24" i="8"/>
  <c r="D23" i="8"/>
  <c r="D20" i="8"/>
  <c r="I20" i="8" s="1"/>
  <c r="D19" i="8"/>
  <c r="Q18" i="8"/>
  <c r="Q205" i="8" s="1"/>
  <c r="D17" i="8"/>
  <c r="D16" i="8"/>
  <c r="D15" i="8"/>
  <c r="D14" i="8"/>
  <c r="D13" i="8"/>
  <c r="M12" i="8"/>
  <c r="M205" i="8" s="1"/>
  <c r="L12" i="8"/>
  <c r="L205" i="8" s="1"/>
  <c r="D11" i="8"/>
  <c r="H11" i="8" s="1"/>
  <c r="I9" i="8"/>
  <c r="L84" i="1"/>
  <c r="K84" i="1"/>
  <c r="J84" i="1"/>
  <c r="AW203" i="1"/>
  <c r="AT203" i="1"/>
  <c r="L85" i="1"/>
  <c r="K85" i="1"/>
  <c r="J85" i="1"/>
  <c r="L82" i="1"/>
  <c r="K82" i="1"/>
  <c r="J82" i="1"/>
  <c r="L81" i="1"/>
  <c r="K81" i="1"/>
  <c r="J81" i="1"/>
  <c r="L80" i="1"/>
  <c r="K80" i="1"/>
  <c r="J80" i="1"/>
  <c r="L79" i="1"/>
  <c r="K79" i="1"/>
  <c r="J79" i="1"/>
  <c r="L78" i="1"/>
  <c r="K78" i="1"/>
  <c r="J78" i="1"/>
  <c r="L77" i="1"/>
  <c r="K77" i="1"/>
  <c r="J77" i="1"/>
  <c r="D204" i="1"/>
  <c r="AB109" i="1"/>
  <c r="M90" i="1"/>
  <c r="M215" i="1" s="1"/>
  <c r="J215" i="1" s="1"/>
  <c r="AC110" i="1"/>
  <c r="AC152" i="1"/>
  <c r="AH107" i="1"/>
  <c r="AD107" i="1"/>
  <c r="AD110" i="1"/>
  <c r="AC107" i="1"/>
  <c r="V107" i="1"/>
  <c r="S107" i="1"/>
  <c r="R107" i="1"/>
  <c r="P107" i="1"/>
  <c r="O107" i="1"/>
  <c r="J205" i="8" l="1"/>
  <c r="D51" i="8"/>
  <c r="D103" i="8"/>
  <c r="D157" i="8"/>
  <c r="I148" i="8"/>
  <c r="F148" i="8"/>
  <c r="H129" i="8"/>
  <c r="F129" i="8"/>
  <c r="H139" i="8"/>
  <c r="F139" i="8"/>
  <c r="I158" i="8"/>
  <c r="F158" i="8"/>
  <c r="I172" i="8"/>
  <c r="F172" i="8"/>
  <c r="I132" i="8"/>
  <c r="F132" i="8"/>
  <c r="H183" i="8"/>
  <c r="F183" i="8"/>
  <c r="I124" i="8"/>
  <c r="F124" i="8"/>
  <c r="I142" i="8"/>
  <c r="F142" i="8"/>
  <c r="I152" i="8"/>
  <c r="F152" i="8"/>
  <c r="I162" i="8"/>
  <c r="F162" i="8"/>
  <c r="I184" i="8"/>
  <c r="F184" i="8"/>
  <c r="I195" i="8"/>
  <c r="F195" i="8"/>
  <c r="I125" i="8"/>
  <c r="F125" i="8"/>
  <c r="H135" i="8"/>
  <c r="F135" i="8"/>
  <c r="I153" i="8"/>
  <c r="F153" i="8"/>
  <c r="H163" i="8"/>
  <c r="F163" i="8"/>
  <c r="I185" i="8"/>
  <c r="F185" i="8"/>
  <c r="H196" i="8"/>
  <c r="F196" i="8"/>
  <c r="H128" i="8"/>
  <c r="F128" i="8"/>
  <c r="I138" i="8"/>
  <c r="F138" i="8"/>
  <c r="I168" i="8"/>
  <c r="F168" i="8"/>
  <c r="I191" i="8"/>
  <c r="F191" i="8"/>
  <c r="H149" i="8"/>
  <c r="F149" i="8"/>
  <c r="I169" i="8"/>
  <c r="F169" i="8"/>
  <c r="I192" i="8"/>
  <c r="F192" i="8"/>
  <c r="I130" i="8"/>
  <c r="F130" i="8"/>
  <c r="H140" i="8"/>
  <c r="F140" i="8"/>
  <c r="H193" i="8"/>
  <c r="F193" i="8"/>
  <c r="I123" i="8"/>
  <c r="F123" i="8"/>
  <c r="H141" i="8"/>
  <c r="F141" i="8"/>
  <c r="H151" i="8"/>
  <c r="F151" i="8"/>
  <c r="H173" i="8"/>
  <c r="F173" i="8"/>
  <c r="H194" i="8"/>
  <c r="F194" i="8"/>
  <c r="E206" i="8"/>
  <c r="H144" i="8"/>
  <c r="F144" i="8"/>
  <c r="I154" i="8"/>
  <c r="F154" i="8"/>
  <c r="I164" i="8"/>
  <c r="F164" i="8"/>
  <c r="H189" i="8"/>
  <c r="F189" i="8"/>
  <c r="H127" i="8"/>
  <c r="F127" i="8"/>
  <c r="I137" i="8"/>
  <c r="F137" i="8"/>
  <c r="I147" i="8"/>
  <c r="F147" i="8"/>
  <c r="H167" i="8"/>
  <c r="F167" i="8"/>
  <c r="I190" i="8"/>
  <c r="F190" i="8"/>
  <c r="E207" i="8"/>
  <c r="H60" i="8"/>
  <c r="F60" i="8"/>
  <c r="H52" i="8"/>
  <c r="F52" i="8"/>
  <c r="H69" i="8"/>
  <c r="F69" i="8"/>
  <c r="I83" i="8"/>
  <c r="F83" i="8"/>
  <c r="I98" i="8"/>
  <c r="F98" i="8"/>
  <c r="I110" i="8"/>
  <c r="F110" i="8"/>
  <c r="I118" i="8"/>
  <c r="F118" i="8"/>
  <c r="H53" i="8"/>
  <c r="F53" i="8"/>
  <c r="H62" i="8"/>
  <c r="F62" i="8"/>
  <c r="I86" i="8"/>
  <c r="F86" i="8"/>
  <c r="I99" i="8"/>
  <c r="F99" i="8"/>
  <c r="I111" i="8"/>
  <c r="F111" i="8"/>
  <c r="I119" i="8"/>
  <c r="F119" i="8"/>
  <c r="H68" i="8"/>
  <c r="F68" i="8"/>
  <c r="H45" i="8"/>
  <c r="F45" i="8"/>
  <c r="H54" i="8"/>
  <c r="F54" i="8"/>
  <c r="H63" i="8"/>
  <c r="F63" i="8"/>
  <c r="I87" i="8"/>
  <c r="F87" i="8"/>
  <c r="I112" i="8"/>
  <c r="F112" i="8"/>
  <c r="H46" i="8"/>
  <c r="F46" i="8"/>
  <c r="H55" i="8"/>
  <c r="F55" i="8"/>
  <c r="H64" i="8"/>
  <c r="F64" i="8"/>
  <c r="I113" i="8"/>
  <c r="F113" i="8"/>
  <c r="I47" i="8"/>
  <c r="F47" i="8"/>
  <c r="H65" i="8"/>
  <c r="F65" i="8"/>
  <c r="H94" i="8"/>
  <c r="F94" i="8"/>
  <c r="I105" i="8"/>
  <c r="F105" i="8"/>
  <c r="I114" i="8"/>
  <c r="F114" i="8"/>
  <c r="H49" i="8"/>
  <c r="F49" i="8"/>
  <c r="I66" i="8"/>
  <c r="F66" i="8"/>
  <c r="H95" i="8"/>
  <c r="F95" i="8"/>
  <c r="I117" i="8"/>
  <c r="F117" i="8"/>
  <c r="H67" i="8"/>
  <c r="F67" i="8"/>
  <c r="I96" i="8"/>
  <c r="F96" i="8"/>
  <c r="I116" i="8"/>
  <c r="F116" i="8"/>
  <c r="I13" i="8"/>
  <c r="F13" i="8"/>
  <c r="H42" i="8"/>
  <c r="F42" i="8"/>
  <c r="I25" i="8"/>
  <c r="F25" i="8"/>
  <c r="I31" i="8"/>
  <c r="F31" i="8"/>
  <c r="H16" i="8"/>
  <c r="F16" i="8"/>
  <c r="H26" i="8"/>
  <c r="F26" i="8"/>
  <c r="I34" i="8"/>
  <c r="F34" i="8"/>
  <c r="I23" i="8"/>
  <c r="F23" i="8"/>
  <c r="I14" i="8"/>
  <c r="F14" i="8"/>
  <c r="I17" i="8"/>
  <c r="F17" i="8"/>
  <c r="I27" i="8"/>
  <c r="F27" i="8"/>
  <c r="H35" i="8"/>
  <c r="F35" i="8"/>
  <c r="I33" i="8"/>
  <c r="F33" i="8"/>
  <c r="I28" i="8"/>
  <c r="F28" i="8"/>
  <c r="I36" i="8"/>
  <c r="F36" i="8"/>
  <c r="I24" i="8"/>
  <c r="F24" i="8"/>
  <c r="I15" i="8"/>
  <c r="F15" i="8"/>
  <c r="I19" i="8"/>
  <c r="F19" i="8"/>
  <c r="H37" i="8"/>
  <c r="F37" i="8"/>
  <c r="H43" i="8"/>
  <c r="F43" i="8"/>
  <c r="I30" i="8"/>
  <c r="F30" i="8"/>
  <c r="I40" i="8"/>
  <c r="F40" i="8"/>
  <c r="N198" i="8"/>
  <c r="N211" i="8" s="1"/>
  <c r="AB202" i="8"/>
  <c r="H39" i="8"/>
  <c r="H110" i="8"/>
  <c r="G73" i="8"/>
  <c r="G90" i="8" s="1"/>
  <c r="G202" i="8" s="1"/>
  <c r="D80" i="1"/>
  <c r="F80" i="1" s="1"/>
  <c r="I188" i="8"/>
  <c r="D84" i="1"/>
  <c r="H84" i="1" s="1"/>
  <c r="D81" i="1"/>
  <c r="F81" i="1" s="1"/>
  <c r="D82" i="1"/>
  <c r="D85" i="1"/>
  <c r="F85" i="1" s="1"/>
  <c r="D79" i="1"/>
  <c r="F79" i="1" s="1"/>
  <c r="D78" i="1"/>
  <c r="F78" i="1" s="1"/>
  <c r="G205" i="8"/>
  <c r="G209" i="8" s="1"/>
  <c r="H125" i="8"/>
  <c r="I135" i="8"/>
  <c r="I136" i="8"/>
  <c r="H154" i="8"/>
  <c r="I173" i="8"/>
  <c r="I183" i="8"/>
  <c r="H99" i="8"/>
  <c r="I94" i="8"/>
  <c r="M198" i="8"/>
  <c r="M211" i="8" s="1"/>
  <c r="H96" i="8"/>
  <c r="H162" i="8"/>
  <c r="AC202" i="8"/>
  <c r="I16" i="8"/>
  <c r="H114" i="8"/>
  <c r="I139" i="8"/>
  <c r="I189" i="8"/>
  <c r="H117" i="8"/>
  <c r="I193" i="8"/>
  <c r="H118" i="8"/>
  <c r="H147" i="8"/>
  <c r="I194" i="8"/>
  <c r="H124" i="8"/>
  <c r="H153" i="8"/>
  <c r="I143" i="8"/>
  <c r="H143" i="8"/>
  <c r="H113" i="8"/>
  <c r="I167" i="8"/>
  <c r="I42" i="8"/>
  <c r="H130" i="8"/>
  <c r="H168" i="8"/>
  <c r="H190" i="8"/>
  <c r="H148" i="8"/>
  <c r="H23" i="8"/>
  <c r="I54" i="8"/>
  <c r="H132" i="8"/>
  <c r="H137" i="8"/>
  <c r="H142" i="8"/>
  <c r="H169" i="8"/>
  <c r="H185" i="8"/>
  <c r="H191" i="8"/>
  <c r="H195" i="8"/>
  <c r="H111" i="8"/>
  <c r="H115" i="8"/>
  <c r="H119" i="8"/>
  <c r="H31" i="8"/>
  <c r="I115" i="8"/>
  <c r="H138" i="8"/>
  <c r="H150" i="8"/>
  <c r="H164" i="8"/>
  <c r="H172" i="8"/>
  <c r="H192" i="8"/>
  <c r="H87" i="8"/>
  <c r="H98" i="8"/>
  <c r="H105" i="8"/>
  <c r="H112" i="8"/>
  <c r="H116" i="8"/>
  <c r="H123" i="8"/>
  <c r="I150" i="8"/>
  <c r="H158" i="8"/>
  <c r="I196" i="8"/>
  <c r="I37" i="8"/>
  <c r="H188" i="8"/>
  <c r="G211" i="8"/>
  <c r="H184" i="8"/>
  <c r="H152" i="8"/>
  <c r="H100" i="8"/>
  <c r="H13" i="8"/>
  <c r="H17" i="8"/>
  <c r="H24" i="8"/>
  <c r="H32" i="8"/>
  <c r="I39" i="8"/>
  <c r="I43" i="8"/>
  <c r="I60" i="8"/>
  <c r="S198" i="8"/>
  <c r="S211" i="8" s="1"/>
  <c r="H40" i="8"/>
  <c r="I62" i="8"/>
  <c r="H14" i="8"/>
  <c r="H25" i="8"/>
  <c r="H34" i="8"/>
  <c r="I67" i="8"/>
  <c r="D18" i="8"/>
  <c r="F18" i="8" s="1"/>
  <c r="K202" i="8"/>
  <c r="H41" i="8"/>
  <c r="H47" i="8"/>
  <c r="H83" i="8"/>
  <c r="H9" i="8"/>
  <c r="H15" i="8"/>
  <c r="H19" i="8"/>
  <c r="I41" i="8"/>
  <c r="H66" i="8"/>
  <c r="H29" i="8"/>
  <c r="H86" i="8"/>
  <c r="H71" i="8"/>
  <c r="I63" i="8"/>
  <c r="I64" i="8"/>
  <c r="I65" i="8"/>
  <c r="H61" i="8"/>
  <c r="I68" i="8"/>
  <c r="I61" i="8"/>
  <c r="H30" i="8"/>
  <c r="H36" i="8"/>
  <c r="H33" i="8"/>
  <c r="H27" i="8"/>
  <c r="H28" i="8"/>
  <c r="H20" i="8"/>
  <c r="R202" i="8"/>
  <c r="AC209" i="8"/>
  <c r="AC213" i="8" s="1"/>
  <c r="T202" i="8"/>
  <c r="D134" i="8"/>
  <c r="F134" i="8" s="1"/>
  <c r="V202" i="8"/>
  <c r="O198" i="8"/>
  <c r="O211" i="8" s="1"/>
  <c r="D159" i="8"/>
  <c r="F159" i="8" s="1"/>
  <c r="P209" i="8"/>
  <c r="U209" i="8"/>
  <c r="U213" i="8" s="1"/>
  <c r="P198" i="8"/>
  <c r="P211" i="8" s="1"/>
  <c r="Y198" i="8"/>
  <c r="Y211" i="8" s="1"/>
  <c r="M209" i="8"/>
  <c r="D88" i="8"/>
  <c r="F88" i="8" s="1"/>
  <c r="O209" i="8"/>
  <c r="W209" i="8"/>
  <c r="Y209" i="8"/>
  <c r="R209" i="8"/>
  <c r="R213" i="8" s="1"/>
  <c r="Z209" i="8"/>
  <c r="F51" i="8"/>
  <c r="L209" i="8"/>
  <c r="T209" i="8"/>
  <c r="T213" i="8" s="1"/>
  <c r="D97" i="8"/>
  <c r="F97" i="8" s="1"/>
  <c r="K209" i="8"/>
  <c r="K213" i="8" s="1"/>
  <c r="S209" i="8"/>
  <c r="AA209" i="8"/>
  <c r="D207" i="8"/>
  <c r="Z198" i="8"/>
  <c r="Z211" i="8" s="1"/>
  <c r="D206" i="8"/>
  <c r="F206" i="8" s="1"/>
  <c r="U202" i="8"/>
  <c r="D104" i="8"/>
  <c r="F104" i="8" s="1"/>
  <c r="D205" i="8"/>
  <c r="F205" i="8" s="1"/>
  <c r="X73" i="8"/>
  <c r="X90" i="8" s="1"/>
  <c r="X202" i="8" s="1"/>
  <c r="L198" i="8"/>
  <c r="L211" i="8" s="1"/>
  <c r="F103" i="8"/>
  <c r="Q73" i="8"/>
  <c r="Q90" i="8" s="1"/>
  <c r="Q202" i="8" s="1"/>
  <c r="J209" i="8"/>
  <c r="J213" i="8" s="1"/>
  <c r="D208" i="8"/>
  <c r="F208" i="8" s="1"/>
  <c r="N209" i="8"/>
  <c r="V209" i="8"/>
  <c r="V213" i="8" s="1"/>
  <c r="J73" i="8"/>
  <c r="J90" i="8" s="1"/>
  <c r="J202" i="8" s="1"/>
  <c r="D12" i="8"/>
  <c r="F12" i="8" s="1"/>
  <c r="X209" i="8"/>
  <c r="X213" i="8" s="1"/>
  <c r="AB209" i="8"/>
  <c r="AB213" i="8" s="1"/>
  <c r="L73" i="8"/>
  <c r="L90" i="8" s="1"/>
  <c r="Q209" i="8"/>
  <c r="Q213" i="8" s="1"/>
  <c r="M73" i="8"/>
  <c r="M90" i="8" s="1"/>
  <c r="AA198" i="8"/>
  <c r="AA211" i="8" s="1"/>
  <c r="D106" i="8"/>
  <c r="F106" i="8" s="1"/>
  <c r="W198" i="8"/>
  <c r="W211" i="8" s="1"/>
  <c r="D126" i="8"/>
  <c r="F126" i="8" s="1"/>
  <c r="N202" i="8" l="1"/>
  <c r="N213" i="8"/>
  <c r="E209" i="8"/>
  <c r="E213" i="8" s="1"/>
  <c r="F207" i="8"/>
  <c r="F209" i="8" s="1"/>
  <c r="I157" i="8"/>
  <c r="F157" i="8"/>
  <c r="F198" i="8" s="1"/>
  <c r="F211" i="8" s="1"/>
  <c r="F73" i="8"/>
  <c r="F90" i="8" s="1"/>
  <c r="H80" i="1"/>
  <c r="F84" i="1"/>
  <c r="H157" i="8"/>
  <c r="M202" i="8"/>
  <c r="H82" i="1"/>
  <c r="F82" i="1"/>
  <c r="M213" i="8"/>
  <c r="I159" i="8"/>
  <c r="H159" i="8"/>
  <c r="I208" i="8"/>
  <c r="H208" i="8"/>
  <c r="I104" i="8"/>
  <c r="H104" i="8"/>
  <c r="I126" i="8"/>
  <c r="H126" i="8"/>
  <c r="I134" i="8"/>
  <c r="H134" i="8"/>
  <c r="H103" i="8"/>
  <c r="I103" i="8"/>
  <c r="I206" i="8"/>
  <c r="H206" i="8"/>
  <c r="I106" i="8"/>
  <c r="H106" i="8"/>
  <c r="H205" i="8"/>
  <c r="I205" i="8"/>
  <c r="I97" i="8"/>
  <c r="H97" i="8"/>
  <c r="G213" i="8"/>
  <c r="I207" i="8"/>
  <c r="H207" i="8"/>
  <c r="O213" i="8"/>
  <c r="Y213" i="8"/>
  <c r="S213" i="8"/>
  <c r="S202" i="8"/>
  <c r="H12" i="8"/>
  <c r="I12" i="8"/>
  <c r="I51" i="8"/>
  <c r="H51" i="8"/>
  <c r="I88" i="8"/>
  <c r="H88" i="8"/>
  <c r="P213" i="8"/>
  <c r="I18" i="8"/>
  <c r="H18" i="8"/>
  <c r="W213" i="8"/>
  <c r="O202" i="8"/>
  <c r="AA213" i="8"/>
  <c r="Z213" i="8"/>
  <c r="Y202" i="8"/>
  <c r="P202" i="8"/>
  <c r="Z202" i="8"/>
  <c r="L213" i="8"/>
  <c r="AA202" i="8"/>
  <c r="D198" i="8"/>
  <c r="L202" i="8"/>
  <c r="W202" i="8"/>
  <c r="D209" i="8"/>
  <c r="I209" i="8" s="1"/>
  <c r="D73" i="8"/>
  <c r="F213" i="8" l="1"/>
  <c r="H73" i="8"/>
  <c r="H90" i="8" s="1"/>
  <c r="H209" i="8"/>
  <c r="I198" i="8"/>
  <c r="D211" i="8"/>
  <c r="I211" i="8" s="1"/>
  <c r="H198" i="8"/>
  <c r="H211" i="8" s="1"/>
  <c r="D90" i="8"/>
  <c r="I90" i="8" s="1"/>
  <c r="I73" i="8"/>
  <c r="H213" i="8" l="1"/>
  <c r="D202" i="8"/>
  <c r="D213" i="8"/>
  <c r="H202" i="8"/>
  <c r="AW218" i="1" l="1"/>
  <c r="AW212" i="1"/>
  <c r="AW211" i="1"/>
  <c r="AW210" i="1"/>
  <c r="AT218" i="1"/>
  <c r="AT212" i="1"/>
  <c r="AT211" i="1"/>
  <c r="AT210" i="1"/>
  <c r="AP212" i="1"/>
  <c r="AP211" i="1"/>
  <c r="AO212" i="1"/>
  <c r="AO211" i="1"/>
  <c r="AM218" i="1"/>
  <c r="AM212" i="1"/>
  <c r="AM211" i="1"/>
  <c r="AM210" i="1"/>
  <c r="AL211" i="1"/>
  <c r="AL210" i="1"/>
  <c r="AJ73" i="1"/>
  <c r="L73" i="1" s="1"/>
  <c r="L90" i="1"/>
  <c r="K90" i="1"/>
  <c r="J90" i="1"/>
  <c r="L89" i="1"/>
  <c r="K89" i="1"/>
  <c r="J89" i="1"/>
  <c r="L88" i="1"/>
  <c r="K88" i="1"/>
  <c r="J88" i="1"/>
  <c r="AD174" i="1"/>
  <c r="AD172" i="1"/>
  <c r="AK144" i="1"/>
  <c r="AC115" i="1"/>
  <c r="AK157" i="1"/>
  <c r="L157" i="1" s="1"/>
  <c r="K157" i="1"/>
  <c r="J157" i="1"/>
  <c r="AD153" i="1"/>
  <c r="Z142" i="1"/>
  <c r="AG103" i="1"/>
  <c r="L104" i="1"/>
  <c r="K104" i="1"/>
  <c r="J104" i="1"/>
  <c r="AC108" i="1"/>
  <c r="AH108" i="1"/>
  <c r="AI108" i="1"/>
  <c r="AE108" i="1"/>
  <c r="AD108" i="1"/>
  <c r="AB108" i="1"/>
  <c r="AA108" i="1"/>
  <c r="V108" i="1"/>
  <c r="S108" i="1"/>
  <c r="R108" i="1"/>
  <c r="P108" i="1"/>
  <c r="O108" i="1"/>
  <c r="G43" i="1"/>
  <c r="AM216" i="1" l="1"/>
  <c r="AM220" i="1" s="1"/>
  <c r="AW216" i="1"/>
  <c r="AW220" i="1" s="1"/>
  <c r="AL216" i="1"/>
  <c r="AT216" i="1"/>
  <c r="AT220" i="1" s="1"/>
  <c r="D157" i="1"/>
  <c r="F157" i="1" s="1"/>
  <c r="D104" i="1"/>
  <c r="H104" i="1" l="1"/>
  <c r="F104" i="1"/>
  <c r="H157" i="1"/>
  <c r="I157" i="1"/>
  <c r="L149" i="1"/>
  <c r="K149" i="1"/>
  <c r="J149" i="1"/>
  <c r="AS184" i="1"/>
  <c r="L99" i="1"/>
  <c r="K99" i="1"/>
  <c r="J99" i="1"/>
  <c r="AP162" i="1"/>
  <c r="AP203" i="1" s="1"/>
  <c r="AH162" i="1"/>
  <c r="AH164" i="1"/>
  <c r="K164" i="1" s="1"/>
  <c r="AD164" i="1"/>
  <c r="AD162" i="1"/>
  <c r="AC203" i="1"/>
  <c r="R162" i="1"/>
  <c r="R163" i="1"/>
  <c r="J163" i="1" s="1"/>
  <c r="O164" i="1"/>
  <c r="W131" i="1"/>
  <c r="O147" i="1"/>
  <c r="J147" i="1" s="1"/>
  <c r="X139" i="1"/>
  <c r="J139" i="1" s="1"/>
  <c r="L139" i="1"/>
  <c r="K139" i="1"/>
  <c r="L140" i="1"/>
  <c r="K140" i="1"/>
  <c r="J140" i="1"/>
  <c r="L146" i="1"/>
  <c r="K146" i="1"/>
  <c r="J146" i="1"/>
  <c r="R148" i="1"/>
  <c r="J148" i="1" s="1"/>
  <c r="L148" i="1"/>
  <c r="K148" i="1"/>
  <c r="L147" i="1"/>
  <c r="K147" i="1"/>
  <c r="AD124" i="1"/>
  <c r="L117" i="1"/>
  <c r="K117" i="1"/>
  <c r="J117" i="1"/>
  <c r="M101" i="1"/>
  <c r="AW75" i="1"/>
  <c r="AW92" i="1" s="1"/>
  <c r="AW207" i="1" s="1"/>
  <c r="AL75" i="1"/>
  <c r="AL92" i="1" s="1"/>
  <c r="L70" i="1"/>
  <c r="K70" i="1"/>
  <c r="J70" i="1"/>
  <c r="L65" i="1"/>
  <c r="K65" i="1"/>
  <c r="J65" i="1"/>
  <c r="L63" i="1"/>
  <c r="K63" i="1"/>
  <c r="J63" i="1"/>
  <c r="AM75" i="1"/>
  <c r="L66" i="1"/>
  <c r="K66" i="1"/>
  <c r="J66" i="1"/>
  <c r="AT75" i="1"/>
  <c r="AT92" i="1" s="1"/>
  <c r="AT207" i="1" s="1"/>
  <c r="AA53" i="1"/>
  <c r="AA210" i="1" s="1"/>
  <c r="M53" i="1"/>
  <c r="M75" i="1" s="1"/>
  <c r="M92" i="1" s="1"/>
  <c r="M212" i="1"/>
  <c r="AY203" i="1"/>
  <c r="AX203" i="1"/>
  <c r="AR203" i="1"/>
  <c r="AQ203" i="1"/>
  <c r="AQ218" i="1" s="1"/>
  <c r="AO203" i="1"/>
  <c r="AN203" i="1"/>
  <c r="AL203" i="1"/>
  <c r="AL218" i="1" s="1"/>
  <c r="AL220" i="1" s="1"/>
  <c r="Z203" i="1"/>
  <c r="Y203" i="1"/>
  <c r="V203" i="1"/>
  <c r="U203" i="1"/>
  <c r="T203" i="1"/>
  <c r="AX75" i="1"/>
  <c r="AX92" i="1" s="1"/>
  <c r="AV75" i="1"/>
  <c r="AV92" i="1" s="1"/>
  <c r="AU75" i="1"/>
  <c r="AU92" i="1" s="1"/>
  <c r="AS75" i="1"/>
  <c r="AS92" i="1" s="1"/>
  <c r="AR75" i="1"/>
  <c r="AR92" i="1" s="1"/>
  <c r="AQ75" i="1"/>
  <c r="AQ92" i="1" s="1"/>
  <c r="AP75" i="1"/>
  <c r="AP92" i="1" s="1"/>
  <c r="AO75" i="1"/>
  <c r="AO92" i="1" s="1"/>
  <c r="AN75" i="1"/>
  <c r="AN92" i="1" s="1"/>
  <c r="AK75" i="1"/>
  <c r="AK92" i="1" s="1"/>
  <c r="AI75" i="1"/>
  <c r="AI92" i="1" s="1"/>
  <c r="AH75" i="1"/>
  <c r="AH92" i="1" s="1"/>
  <c r="AF75" i="1"/>
  <c r="AF92" i="1" s="1"/>
  <c r="AE75" i="1"/>
  <c r="AE92" i="1" s="1"/>
  <c r="AD75" i="1"/>
  <c r="AD92" i="1" s="1"/>
  <c r="AC75" i="1"/>
  <c r="AC92" i="1" s="1"/>
  <c r="AB75" i="1"/>
  <c r="AB92" i="1" s="1"/>
  <c r="Z75" i="1"/>
  <c r="Z92" i="1" s="1"/>
  <c r="Y75" i="1"/>
  <c r="Y92" i="1" s="1"/>
  <c r="X75" i="1"/>
  <c r="X92" i="1" s="1"/>
  <c r="V75" i="1"/>
  <c r="V92" i="1" s="1"/>
  <c r="U75" i="1"/>
  <c r="U92" i="1" s="1"/>
  <c r="S75" i="1"/>
  <c r="S92" i="1" s="1"/>
  <c r="R75" i="1"/>
  <c r="R92" i="1" s="1"/>
  <c r="Q75" i="1"/>
  <c r="Q92" i="1" s="1"/>
  <c r="N75" i="1"/>
  <c r="N92" i="1" s="1"/>
  <c r="AX210" i="1"/>
  <c r="AV210" i="1"/>
  <c r="AU210" i="1"/>
  <c r="AS210" i="1"/>
  <c r="AR210" i="1"/>
  <c r="AQ210" i="1"/>
  <c r="AQ216" i="1" s="1"/>
  <c r="AP210" i="1"/>
  <c r="AO210" i="1"/>
  <c r="AN210" i="1"/>
  <c r="AK210" i="1"/>
  <c r="AJ210" i="1"/>
  <c r="AI210" i="1"/>
  <c r="AH210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AF210" i="1"/>
  <c r="AE210" i="1"/>
  <c r="AD210" i="1"/>
  <c r="AC210" i="1"/>
  <c r="AB210" i="1"/>
  <c r="Z210" i="1"/>
  <c r="Y210" i="1"/>
  <c r="X210" i="1"/>
  <c r="V210" i="1"/>
  <c r="U210" i="1"/>
  <c r="S210" i="1"/>
  <c r="R210" i="1"/>
  <c r="Q210" i="1"/>
  <c r="N210" i="1"/>
  <c r="L201" i="1"/>
  <c r="K201" i="1"/>
  <c r="J201" i="1"/>
  <c r="L200" i="1"/>
  <c r="K200" i="1"/>
  <c r="L199" i="1"/>
  <c r="K199" i="1"/>
  <c r="L198" i="1"/>
  <c r="K198" i="1"/>
  <c r="J198" i="1"/>
  <c r="L197" i="1"/>
  <c r="K197" i="1"/>
  <c r="L196" i="1"/>
  <c r="K196" i="1"/>
  <c r="J196" i="1"/>
  <c r="L195" i="1"/>
  <c r="K195" i="1"/>
  <c r="L194" i="1"/>
  <c r="K194" i="1"/>
  <c r="J194" i="1"/>
  <c r="L193" i="1"/>
  <c r="K193" i="1"/>
  <c r="L190" i="1"/>
  <c r="K190" i="1"/>
  <c r="J190" i="1"/>
  <c r="L188" i="1"/>
  <c r="K188" i="1"/>
  <c r="J188" i="1"/>
  <c r="L189" i="1"/>
  <c r="K189" i="1"/>
  <c r="J189" i="1"/>
  <c r="J183" i="1"/>
  <c r="L182" i="1"/>
  <c r="K182" i="1"/>
  <c r="J182" i="1"/>
  <c r="L181" i="1"/>
  <c r="K181" i="1"/>
  <c r="J181" i="1"/>
  <c r="L180" i="1"/>
  <c r="K180" i="1"/>
  <c r="J180" i="1"/>
  <c r="K179" i="1"/>
  <c r="J179" i="1"/>
  <c r="K184" i="1"/>
  <c r="J184" i="1"/>
  <c r="L185" i="1"/>
  <c r="K185" i="1"/>
  <c r="J185" i="1"/>
  <c r="L177" i="1"/>
  <c r="K177" i="1"/>
  <c r="J177" i="1"/>
  <c r="K178" i="1"/>
  <c r="L174" i="1"/>
  <c r="K174" i="1"/>
  <c r="L173" i="1"/>
  <c r="K173" i="1"/>
  <c r="J173" i="1"/>
  <c r="L169" i="1"/>
  <c r="K169" i="1"/>
  <c r="J169" i="1"/>
  <c r="L168" i="1"/>
  <c r="K168" i="1"/>
  <c r="J168" i="1"/>
  <c r="L167" i="1"/>
  <c r="J167" i="1"/>
  <c r="L164" i="1"/>
  <c r="L163" i="1"/>
  <c r="K163" i="1"/>
  <c r="L154" i="1"/>
  <c r="K154" i="1"/>
  <c r="J154" i="1"/>
  <c r="L155" i="1"/>
  <c r="J155" i="1"/>
  <c r="L158" i="1"/>
  <c r="K158" i="1"/>
  <c r="J158" i="1"/>
  <c r="L153" i="1"/>
  <c r="K153" i="1"/>
  <c r="J153" i="1"/>
  <c r="L159" i="1"/>
  <c r="K159" i="1"/>
  <c r="J159" i="1"/>
  <c r="L156" i="1"/>
  <c r="K156" i="1"/>
  <c r="J156" i="1"/>
  <c r="K152" i="1"/>
  <c r="L141" i="1"/>
  <c r="K141" i="1"/>
  <c r="J141" i="1"/>
  <c r="L143" i="1"/>
  <c r="K143" i="1"/>
  <c r="J143" i="1"/>
  <c r="L144" i="1"/>
  <c r="K144" i="1"/>
  <c r="J144" i="1"/>
  <c r="L145" i="1"/>
  <c r="K145" i="1"/>
  <c r="J145" i="1"/>
  <c r="L137" i="1"/>
  <c r="K137" i="1"/>
  <c r="J137" i="1"/>
  <c r="L134" i="1"/>
  <c r="K134" i="1"/>
  <c r="J134" i="1"/>
  <c r="L130" i="1"/>
  <c r="K130" i="1"/>
  <c r="L133" i="1"/>
  <c r="K133" i="1"/>
  <c r="J133" i="1"/>
  <c r="L135" i="1"/>
  <c r="K135" i="1"/>
  <c r="J135" i="1"/>
  <c r="L131" i="1"/>
  <c r="K131" i="1"/>
  <c r="L132" i="1"/>
  <c r="K132" i="1"/>
  <c r="L129" i="1"/>
  <c r="K129" i="1"/>
  <c r="J129" i="1"/>
  <c r="K128" i="1"/>
  <c r="L142" i="1"/>
  <c r="K142" i="1"/>
  <c r="J142" i="1"/>
  <c r="L124" i="1"/>
  <c r="K124" i="1"/>
  <c r="L119" i="1"/>
  <c r="K119" i="1"/>
  <c r="J119" i="1"/>
  <c r="L120" i="1"/>
  <c r="K120" i="1"/>
  <c r="L122" i="1"/>
  <c r="K122" i="1"/>
  <c r="J122" i="1"/>
  <c r="K121" i="1"/>
  <c r="J121" i="1"/>
  <c r="L118" i="1"/>
  <c r="J118" i="1"/>
  <c r="L116" i="1"/>
  <c r="K116" i="1"/>
  <c r="L115" i="1"/>
  <c r="K115" i="1"/>
  <c r="L113" i="1"/>
  <c r="K113" i="1"/>
  <c r="J113" i="1"/>
  <c r="L114" i="1"/>
  <c r="K114" i="1"/>
  <c r="J114" i="1"/>
  <c r="L110" i="1"/>
  <c r="K110" i="1"/>
  <c r="J110" i="1"/>
  <c r="K109" i="1"/>
  <c r="K107" i="1"/>
  <c r="J107" i="1"/>
  <c r="L103" i="1"/>
  <c r="K103" i="1"/>
  <c r="J103" i="1"/>
  <c r="L102" i="1"/>
  <c r="K102" i="1"/>
  <c r="J102" i="1"/>
  <c r="L101" i="1"/>
  <c r="K101" i="1"/>
  <c r="L100" i="1"/>
  <c r="K100" i="1"/>
  <c r="L98" i="1"/>
  <c r="K98" i="1"/>
  <c r="L71" i="1"/>
  <c r="K71" i="1"/>
  <c r="J71" i="1"/>
  <c r="L57" i="1"/>
  <c r="K57" i="1"/>
  <c r="J57" i="1"/>
  <c r="L56" i="1"/>
  <c r="K56" i="1"/>
  <c r="J56" i="1"/>
  <c r="L64" i="1"/>
  <c r="J64" i="1"/>
  <c r="L69" i="1"/>
  <c r="K69" i="1"/>
  <c r="J69" i="1"/>
  <c r="L67" i="1"/>
  <c r="K67" i="1"/>
  <c r="J67" i="1"/>
  <c r="L68" i="1"/>
  <c r="K68" i="1"/>
  <c r="J68" i="1"/>
  <c r="L61" i="1"/>
  <c r="K61" i="1"/>
  <c r="J61" i="1"/>
  <c r="L62" i="1"/>
  <c r="K62" i="1"/>
  <c r="J62" i="1"/>
  <c r="L60" i="1"/>
  <c r="K60" i="1"/>
  <c r="J60" i="1"/>
  <c r="L55" i="1"/>
  <c r="K55" i="1"/>
  <c r="J55" i="1"/>
  <c r="K59" i="1"/>
  <c r="J59" i="1"/>
  <c r="L54" i="1"/>
  <c r="K54" i="1"/>
  <c r="J54" i="1"/>
  <c r="L53" i="1"/>
  <c r="K53" i="1"/>
  <c r="L51" i="1"/>
  <c r="K51" i="1"/>
  <c r="J51" i="1"/>
  <c r="L47" i="1"/>
  <c r="K47" i="1"/>
  <c r="J47" i="1"/>
  <c r="L50" i="1"/>
  <c r="K50" i="1"/>
  <c r="J50" i="1"/>
  <c r="L48" i="1"/>
  <c r="K48" i="1"/>
  <c r="J48" i="1"/>
  <c r="L45" i="1"/>
  <c r="K45" i="1"/>
  <c r="J45" i="1"/>
  <c r="L44" i="1"/>
  <c r="K44" i="1"/>
  <c r="J44" i="1"/>
  <c r="L42" i="1"/>
  <c r="K42" i="1"/>
  <c r="J42" i="1"/>
  <c r="K41" i="1"/>
  <c r="J41" i="1"/>
  <c r="L43" i="1"/>
  <c r="K43" i="1"/>
  <c r="J43" i="1"/>
  <c r="L30" i="1"/>
  <c r="K30" i="1"/>
  <c r="J30" i="1"/>
  <c r="L29" i="1"/>
  <c r="K29" i="1"/>
  <c r="J29" i="1"/>
  <c r="L38" i="1"/>
  <c r="K38" i="1"/>
  <c r="J38" i="1"/>
  <c r="L37" i="1"/>
  <c r="K37" i="1"/>
  <c r="J37" i="1"/>
  <c r="L28" i="1"/>
  <c r="K28" i="1"/>
  <c r="J28" i="1"/>
  <c r="L26" i="1"/>
  <c r="K26" i="1"/>
  <c r="J26" i="1"/>
  <c r="L35" i="1"/>
  <c r="K35" i="1"/>
  <c r="J35" i="1"/>
  <c r="L32" i="1"/>
  <c r="K32" i="1"/>
  <c r="J32" i="1"/>
  <c r="L34" i="1"/>
  <c r="K34" i="1"/>
  <c r="J34" i="1"/>
  <c r="L31" i="1"/>
  <c r="K31" i="1"/>
  <c r="J31" i="1"/>
  <c r="L33" i="1"/>
  <c r="K33" i="1"/>
  <c r="J33" i="1"/>
  <c r="L25" i="1"/>
  <c r="K25" i="1"/>
  <c r="J25" i="1"/>
  <c r="L27" i="1"/>
  <c r="K27" i="1"/>
  <c r="J27" i="1"/>
  <c r="L24" i="1"/>
  <c r="K24" i="1"/>
  <c r="J24" i="1"/>
  <c r="L23" i="1"/>
  <c r="K23" i="1"/>
  <c r="L20" i="1"/>
  <c r="K20" i="1"/>
  <c r="J20" i="1"/>
  <c r="L19" i="1"/>
  <c r="K19" i="1"/>
  <c r="J19" i="1"/>
  <c r="L18" i="1"/>
  <c r="K18" i="1"/>
  <c r="L17" i="1"/>
  <c r="K17" i="1"/>
  <c r="J17" i="1"/>
  <c r="L16" i="1"/>
  <c r="K16" i="1"/>
  <c r="J16" i="1"/>
  <c r="L15" i="1"/>
  <c r="K15" i="1"/>
  <c r="J15" i="1"/>
  <c r="L14" i="1"/>
  <c r="K14" i="1"/>
  <c r="J14" i="1"/>
  <c r="L13" i="1"/>
  <c r="K13" i="1"/>
  <c r="J13" i="1"/>
  <c r="L12" i="1"/>
  <c r="K12" i="1"/>
  <c r="K11" i="1"/>
  <c r="J11" i="1"/>
  <c r="L41" i="1"/>
  <c r="J23" i="1"/>
  <c r="L9" i="1"/>
  <c r="K9" i="1"/>
  <c r="D149" i="1" l="1"/>
  <c r="F149" i="1" s="1"/>
  <c r="D99" i="1"/>
  <c r="D143" i="1"/>
  <c r="F143" i="1" s="1"/>
  <c r="D139" i="1"/>
  <c r="D140" i="1"/>
  <c r="D146" i="1"/>
  <c r="F146" i="1" s="1"/>
  <c r="D148" i="1"/>
  <c r="D147" i="1"/>
  <c r="D117" i="1"/>
  <c r="AA75" i="1"/>
  <c r="AA92" i="1" s="1"/>
  <c r="AN207" i="1"/>
  <c r="L59" i="1"/>
  <c r="D59" i="1" s="1"/>
  <c r="F59" i="1" s="1"/>
  <c r="D70" i="1"/>
  <c r="F70" i="1" s="1"/>
  <c r="D90" i="1"/>
  <c r="D102" i="1"/>
  <c r="F102" i="1" s="1"/>
  <c r="D137" i="1"/>
  <c r="D65" i="1"/>
  <c r="F65" i="1" s="1"/>
  <c r="D13" i="1"/>
  <c r="F13" i="1" s="1"/>
  <c r="D31" i="1"/>
  <c r="F31" i="1" s="1"/>
  <c r="D169" i="1"/>
  <c r="F169" i="1" s="1"/>
  <c r="D181" i="1"/>
  <c r="D196" i="1"/>
  <c r="F196" i="1" s="1"/>
  <c r="D63" i="1"/>
  <c r="F63" i="1" s="1"/>
  <c r="D129" i="1"/>
  <c r="F129" i="1" s="1"/>
  <c r="D38" i="1"/>
  <c r="F38" i="1" s="1"/>
  <c r="D135" i="1"/>
  <c r="F135" i="1" s="1"/>
  <c r="AR207" i="1"/>
  <c r="D66" i="1"/>
  <c r="F66" i="1" s="1"/>
  <c r="J53" i="1"/>
  <c r="D53" i="1" s="1"/>
  <c r="F53" i="1" s="1"/>
  <c r="D17" i="1"/>
  <c r="F17" i="1" s="1"/>
  <c r="AQ207" i="1"/>
  <c r="D20" i="1"/>
  <c r="F20" i="1" s="1"/>
  <c r="D24" i="1"/>
  <c r="F24" i="1" s="1"/>
  <c r="D26" i="1"/>
  <c r="F26" i="1" s="1"/>
  <c r="D173" i="1"/>
  <c r="F173" i="1" s="1"/>
  <c r="D177" i="1"/>
  <c r="F177" i="1" s="1"/>
  <c r="D194" i="1"/>
  <c r="D45" i="1"/>
  <c r="F45" i="1" s="1"/>
  <c r="D55" i="1"/>
  <c r="F55" i="1" s="1"/>
  <c r="D77" i="1"/>
  <c r="F77" i="1" s="1"/>
  <c r="D153" i="1"/>
  <c r="D110" i="1"/>
  <c r="D119" i="1"/>
  <c r="F119" i="1" s="1"/>
  <c r="D144" i="1"/>
  <c r="F144" i="1" s="1"/>
  <c r="AX207" i="1"/>
  <c r="D47" i="1"/>
  <c r="W75" i="1"/>
  <c r="W92" i="1" s="1"/>
  <c r="D43" i="1"/>
  <c r="D44" i="1"/>
  <c r="D54" i="1"/>
  <c r="F54" i="1" s="1"/>
  <c r="D69" i="1"/>
  <c r="F69" i="1" s="1"/>
  <c r="D56" i="1"/>
  <c r="F56" i="1" s="1"/>
  <c r="D114" i="1"/>
  <c r="F114" i="1" s="1"/>
  <c r="D201" i="1"/>
  <c r="F201" i="1" s="1"/>
  <c r="D89" i="1"/>
  <c r="F89" i="1" s="1"/>
  <c r="D180" i="1"/>
  <c r="F180" i="1" s="1"/>
  <c r="D198" i="1"/>
  <c r="D33" i="1"/>
  <c r="F33" i="1" s="1"/>
  <c r="D37" i="1"/>
  <c r="D142" i="1"/>
  <c r="F142" i="1" s="1"/>
  <c r="D163" i="1"/>
  <c r="F163" i="1" s="1"/>
  <c r="D189" i="1"/>
  <c r="F189" i="1" s="1"/>
  <c r="AY75" i="1"/>
  <c r="AY92" i="1" s="1"/>
  <c r="AY207" i="1" s="1"/>
  <c r="Y207" i="1"/>
  <c r="M210" i="1"/>
  <c r="D15" i="1"/>
  <c r="F15" i="1" s="1"/>
  <c r="D30" i="1"/>
  <c r="F30" i="1" s="1"/>
  <c r="D62" i="1"/>
  <c r="F62" i="1" s="1"/>
  <c r="D71" i="1"/>
  <c r="F71" i="1" s="1"/>
  <c r="D88" i="1"/>
  <c r="F88" i="1" s="1"/>
  <c r="D134" i="1"/>
  <c r="F134" i="1" s="1"/>
  <c r="D141" i="1"/>
  <c r="D158" i="1"/>
  <c r="F158" i="1" s="1"/>
  <c r="AY210" i="1"/>
  <c r="Z207" i="1"/>
  <c r="D9" i="1"/>
  <c r="F9" i="1" s="1"/>
  <c r="D32" i="1"/>
  <c r="F32" i="1" s="1"/>
  <c r="D27" i="1"/>
  <c r="F27" i="1" s="1"/>
  <c r="D28" i="1"/>
  <c r="F28" i="1" s="1"/>
  <c r="D41" i="1"/>
  <c r="D51" i="1"/>
  <c r="F51" i="1" s="1"/>
  <c r="D103" i="1"/>
  <c r="D182" i="1"/>
  <c r="F182" i="1" s="1"/>
  <c r="D188" i="1"/>
  <c r="F188" i="1" s="1"/>
  <c r="D23" i="1"/>
  <c r="F23" i="1" s="1"/>
  <c r="D16" i="1"/>
  <c r="F16" i="1" s="1"/>
  <c r="D19" i="1"/>
  <c r="F19" i="1" s="1"/>
  <c r="D35" i="1"/>
  <c r="F35" i="1" s="1"/>
  <c r="D50" i="1"/>
  <c r="F50" i="1" s="1"/>
  <c r="D133" i="1"/>
  <c r="D159" i="1"/>
  <c r="D154" i="1"/>
  <c r="D168" i="1"/>
  <c r="F168" i="1" s="1"/>
  <c r="AC207" i="1"/>
  <c r="AO207" i="1"/>
  <c r="D25" i="1"/>
  <c r="F25" i="1" s="1"/>
  <c r="D42" i="1"/>
  <c r="D67" i="1"/>
  <c r="F67" i="1" s="1"/>
  <c r="D118" i="1"/>
  <c r="D122" i="1"/>
  <c r="F122" i="1" s="1"/>
  <c r="D145" i="1"/>
  <c r="F145" i="1" s="1"/>
  <c r="D156" i="1"/>
  <c r="F156" i="1" s="1"/>
  <c r="D185" i="1"/>
  <c r="F185" i="1" s="1"/>
  <c r="D190" i="1"/>
  <c r="F190" i="1" s="1"/>
  <c r="V207" i="1"/>
  <c r="D11" i="1"/>
  <c r="F11" i="1" s="1"/>
  <c r="D14" i="1"/>
  <c r="F14" i="1" s="1"/>
  <c r="D34" i="1"/>
  <c r="F34" i="1" s="1"/>
  <c r="D29" i="1"/>
  <c r="F29" i="1" s="1"/>
  <c r="D48" i="1"/>
  <c r="F48" i="1" s="1"/>
  <c r="D60" i="1"/>
  <c r="F60" i="1" s="1"/>
  <c r="D57" i="1"/>
  <c r="F57" i="1" s="1"/>
  <c r="D113" i="1"/>
  <c r="F113" i="1" s="1"/>
  <c r="AQ220" i="1"/>
  <c r="D68" i="1"/>
  <c r="F68" i="1" s="1"/>
  <c r="AP207" i="1"/>
  <c r="D61" i="1"/>
  <c r="F61" i="1" s="1"/>
  <c r="AL207" i="1"/>
  <c r="U207" i="1"/>
  <c r="W210" i="1"/>
  <c r="F117" i="1" l="1"/>
  <c r="I117" i="1"/>
  <c r="I139" i="1"/>
  <c r="F139" i="1"/>
  <c r="H99" i="1"/>
  <c r="F99" i="1"/>
  <c r="D215" i="1"/>
  <c r="F90" i="1"/>
  <c r="I140" i="1"/>
  <c r="F140" i="1"/>
  <c r="I159" i="1"/>
  <c r="F159" i="1"/>
  <c r="I141" i="1"/>
  <c r="F141" i="1"/>
  <c r="I147" i="1"/>
  <c r="F147" i="1"/>
  <c r="I154" i="1"/>
  <c r="F154" i="1"/>
  <c r="I148" i="1"/>
  <c r="F148" i="1"/>
  <c r="H70" i="1"/>
  <c r="H66" i="1"/>
  <c r="I59" i="1"/>
  <c r="H26" i="1"/>
  <c r="I42" i="1"/>
  <c r="I44" i="1"/>
  <c r="H65" i="1"/>
  <c r="I25" i="1"/>
  <c r="I41" i="1"/>
  <c r="H28" i="1"/>
  <c r="H63" i="1"/>
  <c r="I34" i="1"/>
  <c r="I9" i="1"/>
  <c r="H9" i="1"/>
  <c r="I31" i="1"/>
  <c r="I43" i="1"/>
  <c r="D214" i="1"/>
  <c r="M216" i="1"/>
  <c r="H149" i="1"/>
  <c r="H24" i="1"/>
  <c r="I24" i="1"/>
  <c r="I23" i="1"/>
  <c r="H23" i="1"/>
  <c r="H140" i="1"/>
  <c r="H139" i="1"/>
  <c r="H146" i="1"/>
  <c r="H148" i="1"/>
  <c r="H147" i="1"/>
  <c r="H117" i="1"/>
  <c r="I214" i="1" l="1"/>
  <c r="F214" i="1"/>
  <c r="I215" i="1"/>
  <c r="F215" i="1"/>
  <c r="P12" i="1"/>
  <c r="P75" i="1" s="1"/>
  <c r="P92" i="1" s="1"/>
  <c r="T18" i="1"/>
  <c r="T75" i="1" s="1"/>
  <c r="T92" i="1" s="1"/>
  <c r="T207" i="1" s="1"/>
  <c r="J18" i="1" l="1"/>
  <c r="D18" i="1" s="1"/>
  <c r="F18" i="1" s="1"/>
  <c r="T210" i="1"/>
  <c r="G45" i="1"/>
  <c r="I45" i="1" s="1"/>
  <c r="O12" i="1"/>
  <c r="O75" i="1" s="1"/>
  <c r="O92" i="1" s="1"/>
  <c r="J12" i="1" l="1"/>
  <c r="D12" i="1" s="1"/>
  <c r="F12" i="1" s="1"/>
  <c r="O210" i="1"/>
  <c r="H143" i="1" l="1"/>
  <c r="H156" i="1"/>
  <c r="I153" i="1"/>
  <c r="H158" i="1"/>
  <c r="H159" i="1"/>
  <c r="H55" i="1"/>
  <c r="H163" i="1" l="1"/>
  <c r="I163" i="1"/>
  <c r="H153" i="1"/>
  <c r="I158" i="1"/>
  <c r="H134" i="1"/>
  <c r="I90" i="1" l="1"/>
  <c r="H81" i="1"/>
  <c r="H90" i="1" l="1"/>
  <c r="H215" i="1" s="1"/>
  <c r="H154" i="1" l="1"/>
  <c r="H88" i="1" l="1"/>
  <c r="I88" i="1"/>
  <c r="H85" i="1"/>
  <c r="I85" i="1"/>
  <c r="I77" i="1"/>
  <c r="D211" i="1"/>
  <c r="H77" i="1"/>
  <c r="I78" i="1"/>
  <c r="H78" i="1"/>
  <c r="I79" i="1"/>
  <c r="H79" i="1"/>
  <c r="I102" i="1" l="1"/>
  <c r="H102" i="1"/>
  <c r="I122" i="1"/>
  <c r="H122" i="1"/>
  <c r="H142" i="1"/>
  <c r="I142" i="1"/>
  <c r="H133" i="1"/>
  <c r="H141" i="1"/>
  <c r="H189" i="1"/>
  <c r="I189" i="1"/>
  <c r="I196" i="1"/>
  <c r="H196" i="1"/>
  <c r="I135" i="1"/>
  <c r="H135" i="1"/>
  <c r="I169" i="1"/>
  <c r="H169" i="1"/>
  <c r="H185" i="1"/>
  <c r="H198" i="1"/>
  <c r="I198" i="1"/>
  <c r="H67" i="1"/>
  <c r="I110" i="1"/>
  <c r="H110" i="1"/>
  <c r="H188" i="1"/>
  <c r="I188" i="1"/>
  <c r="I201" i="1"/>
  <c r="H201" i="1"/>
  <c r="H31" i="1"/>
  <c r="I114" i="1"/>
  <c r="H114" i="1"/>
  <c r="I137" i="1"/>
  <c r="H137" i="1"/>
  <c r="I190" i="1"/>
  <c r="H190" i="1"/>
  <c r="H34" i="1"/>
  <c r="I113" i="1"/>
  <c r="H113" i="1"/>
  <c r="H194" i="1"/>
  <c r="I194" i="1"/>
  <c r="H89" i="1"/>
  <c r="H214" i="1" s="1"/>
  <c r="I89" i="1"/>
  <c r="H177" i="1"/>
  <c r="I177" i="1"/>
  <c r="I182" i="1"/>
  <c r="H182" i="1"/>
  <c r="H71" i="1"/>
  <c r="I71" i="1"/>
  <c r="H69" i="1"/>
  <c r="H119" i="1"/>
  <c r="I129" i="1"/>
  <c r="H129" i="1"/>
  <c r="H145" i="1"/>
  <c r="I180" i="1"/>
  <c r="H180" i="1"/>
  <c r="H30" i="1"/>
  <c r="I56" i="1"/>
  <c r="H56" i="1"/>
  <c r="H27" i="1"/>
  <c r="H32" i="1"/>
  <c r="I32" i="1"/>
  <c r="H59" i="1"/>
  <c r="H35" i="1"/>
  <c r="H118" i="1"/>
  <c r="I118" i="1"/>
  <c r="H144" i="1"/>
  <c r="I181" i="1"/>
  <c r="H181" i="1"/>
  <c r="H68" i="1"/>
  <c r="H51" i="1"/>
  <c r="G53" i="1" l="1"/>
  <c r="F153" i="1"/>
  <c r="E133" i="1"/>
  <c r="F133" i="1" s="1"/>
  <c r="E137" i="1"/>
  <c r="F137" i="1" s="1"/>
  <c r="E205" i="1"/>
  <c r="F110" i="1"/>
  <c r="F118" i="1"/>
  <c r="F103" i="1"/>
  <c r="F198" i="1"/>
  <c r="F194" i="1"/>
  <c r="F181" i="1"/>
  <c r="E93" i="1"/>
  <c r="F93" i="1" s="1"/>
  <c r="F42" i="1"/>
  <c r="F37" i="1"/>
  <c r="F41" i="1"/>
  <c r="F44" i="1"/>
  <c r="F43" i="1"/>
  <c r="H53" i="1" l="1"/>
  <c r="I53" i="1"/>
  <c r="E204" i="1" l="1"/>
  <c r="F204" i="1" s="1"/>
  <c r="I62" i="1" l="1"/>
  <c r="H62" i="1"/>
  <c r="H45" i="1"/>
  <c r="H42" i="1"/>
  <c r="I50" i="1"/>
  <c r="H50" i="1"/>
  <c r="H41" i="1"/>
  <c r="H29" i="1"/>
  <c r="H44" i="1"/>
  <c r="H33" i="1"/>
  <c r="I61" i="1"/>
  <c r="H61" i="1"/>
  <c r="I103" i="1"/>
  <c r="H103" i="1"/>
  <c r="H37" i="1"/>
  <c r="I37" i="1"/>
  <c r="H57" i="1"/>
  <c r="I38" i="1"/>
  <c r="H38" i="1"/>
  <c r="H25" i="1" l="1"/>
  <c r="I54" i="1"/>
  <c r="H54" i="1"/>
  <c r="I173" i="1" l="1"/>
  <c r="H173" i="1"/>
  <c r="E211" i="1" l="1"/>
  <c r="I60" i="1"/>
  <c r="G12" i="1"/>
  <c r="Q203" i="1"/>
  <c r="Q207" i="1" s="1"/>
  <c r="J101" i="1"/>
  <c r="D101" i="1" s="1"/>
  <c r="F101" i="1" s="1"/>
  <c r="AY212" i="1"/>
  <c r="AX212" i="1"/>
  <c r="AV212" i="1"/>
  <c r="AU212" i="1"/>
  <c r="AS212" i="1"/>
  <c r="AR212" i="1"/>
  <c r="AN212" i="1"/>
  <c r="AK212" i="1"/>
  <c r="AY211" i="1"/>
  <c r="AX211" i="1"/>
  <c r="AV211" i="1"/>
  <c r="AU211" i="1"/>
  <c r="AS211" i="1"/>
  <c r="AR211" i="1"/>
  <c r="AN211" i="1"/>
  <c r="AK211" i="1"/>
  <c r="AJ211" i="1"/>
  <c r="AI211" i="1"/>
  <c r="AH212" i="1"/>
  <c r="AG212" i="1"/>
  <c r="AH211" i="1"/>
  <c r="AG211" i="1"/>
  <c r="J212" i="1"/>
  <c r="J211" i="1"/>
  <c r="AY218" i="1"/>
  <c r="AX218" i="1"/>
  <c r="AR218" i="1"/>
  <c r="AP218" i="1"/>
  <c r="AO218" i="1"/>
  <c r="AN218" i="1"/>
  <c r="AC218" i="1"/>
  <c r="V218" i="1"/>
  <c r="U218" i="1"/>
  <c r="T218" i="1"/>
  <c r="J200" i="1"/>
  <c r="D200" i="1" s="1"/>
  <c r="F200" i="1" s="1"/>
  <c r="J199" i="1"/>
  <c r="D199" i="1" s="1"/>
  <c r="F199" i="1" s="1"/>
  <c r="J197" i="1"/>
  <c r="D197" i="1" s="1"/>
  <c r="F197" i="1" s="1"/>
  <c r="J195" i="1"/>
  <c r="D195" i="1" s="1"/>
  <c r="F195" i="1" s="1"/>
  <c r="L183" i="1"/>
  <c r="D183" i="1" s="1"/>
  <c r="F183" i="1" s="1"/>
  <c r="L179" i="1"/>
  <c r="D179" i="1" s="1"/>
  <c r="F179" i="1" s="1"/>
  <c r="L178" i="1"/>
  <c r="J178" i="1"/>
  <c r="J174" i="1"/>
  <c r="D174" i="1" s="1"/>
  <c r="F174" i="1" s="1"/>
  <c r="L172" i="1"/>
  <c r="K172" i="1"/>
  <c r="K167" i="1"/>
  <c r="D167" i="1" s="1"/>
  <c r="F167" i="1" s="1"/>
  <c r="J164" i="1"/>
  <c r="D164" i="1" s="1"/>
  <c r="F164" i="1" s="1"/>
  <c r="L184" i="1"/>
  <c r="K155" i="1"/>
  <c r="D155" i="1" s="1"/>
  <c r="F155" i="1" s="1"/>
  <c r="L152" i="1"/>
  <c r="J130" i="1"/>
  <c r="D130" i="1" s="1"/>
  <c r="F130" i="1" s="1"/>
  <c r="J131" i="1"/>
  <c r="D131" i="1" s="1"/>
  <c r="F131" i="1" s="1"/>
  <c r="Z218" i="1"/>
  <c r="J120" i="1"/>
  <c r="D120" i="1" s="1"/>
  <c r="F120" i="1" s="1"/>
  <c r="AV203" i="1"/>
  <c r="AV207" i="1" s="1"/>
  <c r="AE203" i="1"/>
  <c r="AE207" i="1" s="1"/>
  <c r="L108" i="1"/>
  <c r="O203" i="1"/>
  <c r="O207" i="1" s="1"/>
  <c r="J108" i="1"/>
  <c r="AB203" i="1"/>
  <c r="AB207" i="1" s="1"/>
  <c r="J100" i="1"/>
  <c r="D100" i="1" s="1"/>
  <c r="F100" i="1" s="1"/>
  <c r="AJ75" i="1"/>
  <c r="AJ92" i="1" s="1"/>
  <c r="G211" i="1"/>
  <c r="F211" i="1" l="1"/>
  <c r="F47" i="1"/>
  <c r="E75" i="1"/>
  <c r="I211" i="1"/>
  <c r="D184" i="1"/>
  <c r="J172" i="1"/>
  <c r="D172" i="1" s="1"/>
  <c r="F172" i="1" s="1"/>
  <c r="K211" i="1"/>
  <c r="L121" i="1"/>
  <c r="D178" i="1"/>
  <c r="J98" i="1"/>
  <c r="D98" i="1" s="1"/>
  <c r="M203" i="1"/>
  <c r="M207" i="1" s="1"/>
  <c r="P203" i="1"/>
  <c r="P207" i="1" s="1"/>
  <c r="J193" i="1"/>
  <c r="D193" i="1" s="1"/>
  <c r="N203" i="1"/>
  <c r="N207" i="1" s="1"/>
  <c r="J124" i="1"/>
  <c r="D124" i="1" s="1"/>
  <c r="AA203" i="1"/>
  <c r="AA207" i="1" s="1"/>
  <c r="L162" i="1"/>
  <c r="AJ203" i="1"/>
  <c r="AJ207" i="1" s="1"/>
  <c r="K64" i="1"/>
  <c r="D64" i="1" s="1"/>
  <c r="F64" i="1" s="1"/>
  <c r="AG210" i="1"/>
  <c r="AG75" i="1"/>
  <c r="AG92" i="1" s="1"/>
  <c r="K108" i="1"/>
  <c r="D108" i="1" s="1"/>
  <c r="F108" i="1" s="1"/>
  <c r="AH203" i="1"/>
  <c r="X203" i="1"/>
  <c r="X207" i="1" s="1"/>
  <c r="J132" i="1"/>
  <c r="D132" i="1" s="1"/>
  <c r="W203" i="1"/>
  <c r="W207" i="1" s="1"/>
  <c r="AS203" i="1"/>
  <c r="AS207" i="1" s="1"/>
  <c r="AF203" i="1"/>
  <c r="AF207" i="1" s="1"/>
  <c r="L128" i="1"/>
  <c r="AU203" i="1"/>
  <c r="AU207" i="1" s="1"/>
  <c r="S203" i="1"/>
  <c r="S207" i="1" s="1"/>
  <c r="AD203" i="1"/>
  <c r="AD207" i="1" s="1"/>
  <c r="K162" i="1"/>
  <c r="AG203" i="1"/>
  <c r="AG218" i="1" s="1"/>
  <c r="L109" i="1"/>
  <c r="AK203" i="1"/>
  <c r="AK207" i="1" s="1"/>
  <c r="L107" i="1"/>
  <c r="D107" i="1" s="1"/>
  <c r="AI203" i="1"/>
  <c r="AI207" i="1" s="1"/>
  <c r="J116" i="1"/>
  <c r="D116" i="1" s="1"/>
  <c r="R203" i="1"/>
  <c r="R207" i="1" s="1"/>
  <c r="H131" i="1"/>
  <c r="I131" i="1"/>
  <c r="H164" i="1"/>
  <c r="I164" i="1"/>
  <c r="H200" i="1"/>
  <c r="I200" i="1"/>
  <c r="AB218" i="1"/>
  <c r="J109" i="1"/>
  <c r="H130" i="1"/>
  <c r="I130" i="1"/>
  <c r="I167" i="1"/>
  <c r="H167" i="1"/>
  <c r="H101" i="1"/>
  <c r="I101" i="1"/>
  <c r="H179" i="1"/>
  <c r="P210" i="1"/>
  <c r="I120" i="1"/>
  <c r="H120" i="1"/>
  <c r="H183" i="1"/>
  <c r="I183" i="1"/>
  <c r="J128" i="1"/>
  <c r="I155" i="1"/>
  <c r="H155" i="1"/>
  <c r="I195" i="1"/>
  <c r="H195" i="1"/>
  <c r="I174" i="1"/>
  <c r="H174" i="1"/>
  <c r="H197" i="1"/>
  <c r="I197" i="1"/>
  <c r="J152" i="1"/>
  <c r="D152" i="1" s="1"/>
  <c r="F152" i="1" s="1"/>
  <c r="I100" i="1"/>
  <c r="H100" i="1"/>
  <c r="J115" i="1"/>
  <c r="D115" i="1" s="1"/>
  <c r="F115" i="1" s="1"/>
  <c r="H199" i="1"/>
  <c r="I199" i="1"/>
  <c r="K212" i="1"/>
  <c r="L211" i="1"/>
  <c r="J162" i="1"/>
  <c r="G75" i="1"/>
  <c r="G92" i="1" s="1"/>
  <c r="G94" i="1" s="1"/>
  <c r="H47" i="1"/>
  <c r="H43" i="1"/>
  <c r="H60" i="1"/>
  <c r="E210" i="1"/>
  <c r="E216" i="1" s="1"/>
  <c r="G210" i="1"/>
  <c r="G216" i="1" s="1"/>
  <c r="E203" i="1"/>
  <c r="W216" i="1"/>
  <c r="AE216" i="1"/>
  <c r="AC216" i="1"/>
  <c r="AC220" i="1" s="1"/>
  <c r="AP216" i="1"/>
  <c r="AP220" i="1" s="1"/>
  <c r="G203" i="1"/>
  <c r="G205" i="1" s="1"/>
  <c r="Y216" i="1"/>
  <c r="AK216" i="1"/>
  <c r="AH216" i="1"/>
  <c r="AI216" i="1"/>
  <c r="AS216" i="1"/>
  <c r="N216" i="1"/>
  <c r="Q216" i="1"/>
  <c r="X216" i="1"/>
  <c r="AF216" i="1"/>
  <c r="AN216" i="1"/>
  <c r="AN220" i="1" s="1"/>
  <c r="AY216" i="1"/>
  <c r="AY220" i="1" s="1"/>
  <c r="AR216" i="1"/>
  <c r="AR220" i="1" s="1"/>
  <c r="AV216" i="1"/>
  <c r="U216" i="1"/>
  <c r="U220" i="1" s="1"/>
  <c r="AB216" i="1"/>
  <c r="S216" i="1"/>
  <c r="Z216" i="1"/>
  <c r="Z220" i="1" s="1"/>
  <c r="T216" i="1"/>
  <c r="T220" i="1" s="1"/>
  <c r="AA216" i="1"/>
  <c r="V216" i="1"/>
  <c r="V220" i="1" s="1"/>
  <c r="AD216" i="1"/>
  <c r="AO216" i="1"/>
  <c r="AO220" i="1" s="1"/>
  <c r="R216" i="1"/>
  <c r="AU216" i="1"/>
  <c r="O216" i="1"/>
  <c r="AE218" i="1"/>
  <c r="AX216" i="1"/>
  <c r="Q218" i="1"/>
  <c r="Y218" i="1"/>
  <c r="AJ212" i="1"/>
  <c r="AJ216" i="1" s="1"/>
  <c r="E92" i="1" l="1"/>
  <c r="E94" i="1" s="1"/>
  <c r="F94" i="1" s="1"/>
  <c r="H132" i="1"/>
  <c r="F132" i="1"/>
  <c r="I193" i="1"/>
  <c r="F193" i="1"/>
  <c r="H184" i="1"/>
  <c r="F184" i="1"/>
  <c r="H98" i="1"/>
  <c r="F98" i="1"/>
  <c r="H178" i="1"/>
  <c r="F178" i="1"/>
  <c r="I116" i="1"/>
  <c r="F116" i="1"/>
  <c r="I124" i="1"/>
  <c r="F124" i="1"/>
  <c r="I107" i="1"/>
  <c r="F107" i="1"/>
  <c r="I64" i="1"/>
  <c r="P216" i="1"/>
  <c r="J210" i="1"/>
  <c r="J216" i="1" s="1"/>
  <c r="AH207" i="1"/>
  <c r="AH218" i="1"/>
  <c r="AH220" i="1" s="1"/>
  <c r="I178" i="1"/>
  <c r="D162" i="1"/>
  <c r="X218" i="1"/>
  <c r="X220" i="1" s="1"/>
  <c r="AA218" i="1"/>
  <c r="AA220" i="1" s="1"/>
  <c r="I172" i="1"/>
  <c r="H172" i="1"/>
  <c r="D121" i="1"/>
  <c r="AI218" i="1"/>
  <c r="AI220" i="1" s="1"/>
  <c r="M218" i="1"/>
  <c r="I98" i="1"/>
  <c r="D109" i="1"/>
  <c r="F109" i="1" s="1"/>
  <c r="K75" i="1"/>
  <c r="K92" i="1" s="1"/>
  <c r="H193" i="1"/>
  <c r="P218" i="1"/>
  <c r="H116" i="1"/>
  <c r="L203" i="1"/>
  <c r="H107" i="1"/>
  <c r="H64" i="1"/>
  <c r="H108" i="1"/>
  <c r="I108" i="1"/>
  <c r="N218" i="1"/>
  <c r="N220" i="1" s="1"/>
  <c r="D128" i="1"/>
  <c r="AF218" i="1"/>
  <c r="AF220" i="1" s="1"/>
  <c r="R218" i="1"/>
  <c r="R220" i="1" s="1"/>
  <c r="AK218" i="1"/>
  <c r="AK220" i="1" s="1"/>
  <c r="H124" i="1"/>
  <c r="AB220" i="1"/>
  <c r="K203" i="1"/>
  <c r="S218" i="1"/>
  <c r="S220" i="1" s="1"/>
  <c r="AG207" i="1"/>
  <c r="I152" i="1"/>
  <c r="H152" i="1"/>
  <c r="L210" i="1"/>
  <c r="I115" i="1"/>
  <c r="H115" i="1"/>
  <c r="AG216" i="1"/>
  <c r="AG220" i="1" s="1"/>
  <c r="K210" i="1"/>
  <c r="K216" i="1" s="1"/>
  <c r="L212" i="1"/>
  <c r="D210" i="1"/>
  <c r="L75" i="1"/>
  <c r="L92" i="1" s="1"/>
  <c r="H168" i="1"/>
  <c r="E218" i="1"/>
  <c r="E220" i="1" s="1"/>
  <c r="E207" i="1"/>
  <c r="G218" i="1"/>
  <c r="G220" i="1" s="1"/>
  <c r="AX220" i="1"/>
  <c r="G207" i="1"/>
  <c r="Q220" i="1"/>
  <c r="AS218" i="1"/>
  <c r="AS220" i="1" s="1"/>
  <c r="H211" i="1"/>
  <c r="AE220" i="1"/>
  <c r="AD218" i="1"/>
  <c r="AD220" i="1" s="1"/>
  <c r="O218" i="1"/>
  <c r="O220" i="1" s="1"/>
  <c r="AJ218" i="1"/>
  <c r="AJ220" i="1" s="1"/>
  <c r="Y220" i="1"/>
  <c r="AV218" i="1"/>
  <c r="AV220" i="1" s="1"/>
  <c r="AU218" i="1"/>
  <c r="AU220" i="1" s="1"/>
  <c r="W218" i="1"/>
  <c r="W220" i="1" s="1"/>
  <c r="F210" i="1" l="1"/>
  <c r="D216" i="1"/>
  <c r="I128" i="1"/>
  <c r="F128" i="1"/>
  <c r="I121" i="1"/>
  <c r="F121" i="1"/>
  <c r="I162" i="1"/>
  <c r="F162" i="1"/>
  <c r="P220" i="1"/>
  <c r="L216" i="1"/>
  <c r="I210" i="1"/>
  <c r="F216" i="1"/>
  <c r="H162" i="1"/>
  <c r="H121" i="1"/>
  <c r="H128" i="1"/>
  <c r="D203" i="1"/>
  <c r="M220" i="1"/>
  <c r="H109" i="1"/>
  <c r="I109" i="1"/>
  <c r="K218" i="1"/>
  <c r="L218" i="1"/>
  <c r="J218" i="1"/>
  <c r="L207" i="1"/>
  <c r="K207" i="1"/>
  <c r="I203" i="1" l="1"/>
  <c r="F203" i="1"/>
  <c r="D205" i="1"/>
  <c r="F205" i="1" s="1"/>
  <c r="D218" i="1"/>
  <c r="K220" i="1"/>
  <c r="L220" i="1"/>
  <c r="I218" i="1" l="1"/>
  <c r="F218" i="1"/>
  <c r="H203" i="1" l="1"/>
  <c r="H218" i="1" s="1"/>
  <c r="J203" i="1"/>
  <c r="J220" i="1" l="1"/>
  <c r="H11" i="1"/>
  <c r="I11" i="1"/>
  <c r="I12" i="1"/>
  <c r="H12" i="1"/>
  <c r="I20" i="1"/>
  <c r="H20" i="1"/>
  <c r="H16" i="1"/>
  <c r="I16" i="1"/>
  <c r="I17" i="1"/>
  <c r="H17" i="1"/>
  <c r="H14" i="1"/>
  <c r="H13" i="1"/>
  <c r="H18" i="1"/>
  <c r="I18" i="1"/>
  <c r="I15" i="1"/>
  <c r="H15" i="1"/>
  <c r="H19" i="1"/>
  <c r="I19" i="1"/>
  <c r="J75" i="1" l="1"/>
  <c r="J92" i="1" s="1"/>
  <c r="H48" i="1"/>
  <c r="H75" i="1" l="1"/>
  <c r="H92" i="1" s="1"/>
  <c r="H210" i="1"/>
  <c r="J207" i="1"/>
  <c r="D75" i="1"/>
  <c r="F75" i="1" l="1"/>
  <c r="I75" i="1"/>
  <c r="H216" i="1"/>
  <c r="H220" i="1" s="1"/>
  <c r="D220" i="1"/>
  <c r="F220" i="1" s="1"/>
  <c r="I216" i="1"/>
  <c r="D92" i="1"/>
  <c r="I92" i="1" s="1"/>
  <c r="D207" i="1" l="1"/>
  <c r="F92" i="1"/>
  <c r="F207" i="1" l="1"/>
  <c r="H207" i="1"/>
</calcChain>
</file>

<file path=xl/sharedStrings.xml><?xml version="1.0" encoding="utf-8"?>
<sst xmlns="http://schemas.openxmlformats.org/spreadsheetml/2006/main" count="939" uniqueCount="264">
  <si>
    <t>DESCRIPTION</t>
  </si>
  <si>
    <t>Synod-wide Fixed Costs</t>
  </si>
  <si>
    <t>Support Payments</t>
  </si>
  <si>
    <t>Advocacy - CO</t>
  </si>
  <si>
    <t>Advocacy - NM</t>
  </si>
  <si>
    <t>Campus Ministry</t>
  </si>
  <si>
    <t>Candidacy / First Call/ Rostered Leaders</t>
  </si>
  <si>
    <t>Generosity</t>
  </si>
  <si>
    <t>Evangelical Missions</t>
  </si>
  <si>
    <t>Multi-Cultural Ministry</t>
  </si>
  <si>
    <t>Hunger Network</t>
  </si>
  <si>
    <t>Events - Synod Assembly</t>
  </si>
  <si>
    <t>Events - Theological Conference</t>
  </si>
  <si>
    <t>Faith Formation</t>
  </si>
  <si>
    <t>Events - Youth Gathering</t>
  </si>
  <si>
    <t>Lutheran Center</t>
  </si>
  <si>
    <t>Transition</t>
  </si>
  <si>
    <t>Office of the Bishop</t>
  </si>
  <si>
    <t>Finance &amp; Administration</t>
  </si>
  <si>
    <t>Communications</t>
  </si>
  <si>
    <t>Synod Council</t>
  </si>
  <si>
    <t>Excellence in Leadership</t>
  </si>
  <si>
    <t>3E Lilly Grant</t>
  </si>
  <si>
    <t>RMS Campaign</t>
  </si>
  <si>
    <t>Racial Justice / Diversity Equity &amp; Inclusion</t>
  </si>
  <si>
    <t>Devers Estate / Arnold Estate</t>
  </si>
  <si>
    <t>Better Together</t>
  </si>
  <si>
    <t>Veterans Service Corps</t>
  </si>
  <si>
    <t>RMS Disaster Response</t>
  </si>
  <si>
    <t>Marshall Fire Fund</t>
  </si>
  <si>
    <t>Endowment</t>
  </si>
  <si>
    <t xml:space="preserve"> </t>
  </si>
  <si>
    <t>SOURCES OF FUNDING (Revenues &amp; Reserves)</t>
  </si>
  <si>
    <t>REVENUES</t>
  </si>
  <si>
    <t>Congregation Mission Support</t>
  </si>
  <si>
    <t>Grants</t>
  </si>
  <si>
    <t xml:space="preserve">Lilly Endowment </t>
  </si>
  <si>
    <t>ELCA - Campus Ministry</t>
  </si>
  <si>
    <t>ELCA - Lutheran Advocacy</t>
  </si>
  <si>
    <t>ELCA -DEM Support</t>
  </si>
  <si>
    <t>ELCA - World Hunger</t>
  </si>
  <si>
    <t>ELCA - Latino Ministries</t>
  </si>
  <si>
    <t>Fees &amp; Registration</t>
  </si>
  <si>
    <t xml:space="preserve">  </t>
  </si>
  <si>
    <t>Event Registration</t>
  </si>
  <si>
    <t xml:space="preserve">     Lutheran Day At Capitol</t>
  </si>
  <si>
    <t>Background Checks/Candidacy Fees</t>
  </si>
  <si>
    <t>Earnings on Investments</t>
  </si>
  <si>
    <t>Mission Investment Fund</t>
  </si>
  <si>
    <t>Credit Card &amp; Amazon Smile Rebates</t>
  </si>
  <si>
    <t>Facility Use</t>
  </si>
  <si>
    <t>Rebates &amp; Other Income</t>
  </si>
  <si>
    <t>Credit Card Fee Reimb</t>
  </si>
  <si>
    <t>Utility Rebates</t>
  </si>
  <si>
    <t>Thrivent Choice</t>
  </si>
  <si>
    <t>RMS - Non-Congregation</t>
  </si>
  <si>
    <t>Restricted Fund Gifts</t>
  </si>
  <si>
    <t xml:space="preserve">      Veterans Service Corps</t>
  </si>
  <si>
    <t>Event Sponsorships</t>
  </si>
  <si>
    <t>Event Offering</t>
  </si>
  <si>
    <t>Shared Services Agreements</t>
  </si>
  <si>
    <t>RESTRICTED CARRYOVER FUNDS</t>
  </si>
  <si>
    <t>Holy Shepherd Gift (75% of $97,581.50)</t>
  </si>
  <si>
    <t>Reserves</t>
  </si>
  <si>
    <t>USES OF FUNDING (Expenditures)</t>
  </si>
  <si>
    <t>FIXED COSTS</t>
  </si>
  <si>
    <t>Depreciation</t>
  </si>
  <si>
    <t>Insurance</t>
  </si>
  <si>
    <t>Mortgage Interest</t>
  </si>
  <si>
    <t>Utilities</t>
  </si>
  <si>
    <t>PERSONNEL</t>
  </si>
  <si>
    <t xml:space="preserve">Salaries </t>
  </si>
  <si>
    <t>Stipends</t>
  </si>
  <si>
    <t>Benefits &amp; Taxes</t>
  </si>
  <si>
    <t>Allowances</t>
  </si>
  <si>
    <t>CONTRACTED SERVICES</t>
  </si>
  <si>
    <t>Audit  &amp; Financial Services</t>
  </si>
  <si>
    <t>Technology &amp; Telecommunications</t>
  </si>
  <si>
    <t>Video Production</t>
  </si>
  <si>
    <t>Marketing &amp; Media</t>
  </si>
  <si>
    <t>Payroll Processing</t>
  </si>
  <si>
    <t>Other Services</t>
  </si>
  <si>
    <t>EVENTS</t>
  </si>
  <si>
    <t>Postage &amp; Printing</t>
  </si>
  <si>
    <t>TRAVEL, MEETINGS &amp; TRAINING</t>
  </si>
  <si>
    <t>Travel - Assembly</t>
  </si>
  <si>
    <t>Meetings, Trainings &amp; Retreats</t>
  </si>
  <si>
    <t>Travel - Theological Conference</t>
  </si>
  <si>
    <t>SUPPLIES &amp; OTHER</t>
  </si>
  <si>
    <t>Supplies &amp; Resources</t>
  </si>
  <si>
    <t>FACILITIES &amp; EQUIPMENT</t>
  </si>
  <si>
    <t>Facility Maintenance</t>
  </si>
  <si>
    <t>Equipment &amp; Leases</t>
  </si>
  <si>
    <t>FEES</t>
  </si>
  <si>
    <t>Bank &amp; Credit Card Fees</t>
  </si>
  <si>
    <t>Memberships and Fees</t>
  </si>
  <si>
    <t>Governmental Registrations</t>
  </si>
  <si>
    <t>Scholarships - Events</t>
  </si>
  <si>
    <t xml:space="preserve">Scholarships - Seminary </t>
  </si>
  <si>
    <t>MINISTRY PARTNER PAYMENTS - PASS-THROUGH</t>
  </si>
  <si>
    <t>Lilly Grant</t>
  </si>
  <si>
    <t>Innovation Vitality Grants</t>
  </si>
  <si>
    <t>Coaching</t>
  </si>
  <si>
    <t>Campus Ministry Support</t>
  </si>
  <si>
    <t>Latino Ministries - Camino de Vida</t>
  </si>
  <si>
    <t>MINISTRY PARTNER PAYMENTS - RMS</t>
  </si>
  <si>
    <t>Ecumenical Support</t>
  </si>
  <si>
    <t>Region II Support</t>
  </si>
  <si>
    <t>Advocacy - Utah</t>
  </si>
  <si>
    <t>Revenues</t>
  </si>
  <si>
    <t>Restricted Fund Balance</t>
  </si>
  <si>
    <t>Gifts &amp; Reserves</t>
  </si>
  <si>
    <t>Total Sources</t>
  </si>
  <si>
    <t>Expenditures</t>
  </si>
  <si>
    <t>2022-23 ACTUALS</t>
  </si>
  <si>
    <t>BUDGET to ACTUAL VARIANCE</t>
  </si>
  <si>
    <t>Companion Synod / Betela Seminary</t>
  </si>
  <si>
    <t>Seminary Scholarships</t>
  </si>
  <si>
    <t>Stock Dividends &amp; Royalties</t>
  </si>
  <si>
    <t>ELCA Endowment Earnings</t>
  </si>
  <si>
    <t>RESERVES</t>
  </si>
  <si>
    <t>Transfers</t>
  </si>
  <si>
    <t>Interfund Transfers</t>
  </si>
  <si>
    <t>Grants - Disaster Response</t>
  </si>
  <si>
    <t>Rostered Minister Gift Bag Fund</t>
  </si>
  <si>
    <t>Devers Estate Gift (75% of $307,472.81)</t>
  </si>
  <si>
    <t>Mission Support (47.5%)</t>
  </si>
  <si>
    <t>Background Checks</t>
  </si>
  <si>
    <t>% of Budget</t>
  </si>
  <si>
    <t>N/A</t>
  </si>
  <si>
    <t>LDR - New Mexico Fires</t>
  </si>
  <si>
    <t>RMS - Congregations</t>
  </si>
  <si>
    <t>CURRENT YEAR to  PRIOR YEAR VARIANCE</t>
  </si>
  <si>
    <t>2023-24 ACTUALS</t>
  </si>
  <si>
    <t>Asbestos Abatement</t>
  </si>
  <si>
    <t>Net Increase in Fund Balance</t>
  </si>
  <si>
    <t>Memorial Funds</t>
  </si>
  <si>
    <t>VRSM</t>
  </si>
  <si>
    <t>Theological Conference</t>
  </si>
  <si>
    <t>Preaching Workshop</t>
  </si>
  <si>
    <t>Donation</t>
  </si>
  <si>
    <t>Financial Assistance &amp; Wellness</t>
  </si>
  <si>
    <t xml:space="preserve">    Candidacy Discernment Retreat</t>
  </si>
  <si>
    <t xml:space="preserve">     Venue &amp; Meals</t>
  </si>
  <si>
    <t xml:space="preserve">     Supplies; Postage  &amp; Printing</t>
  </si>
  <si>
    <t xml:space="preserve">     Videographer</t>
  </si>
  <si>
    <t xml:space="preserve">     Worship &amp; Music</t>
  </si>
  <si>
    <t xml:space="preserve">     Parliamentarian &amp; Election Software</t>
  </si>
  <si>
    <t xml:space="preserve">     Child Care</t>
  </si>
  <si>
    <t xml:space="preserve">     Immersion Vehicles &amp; Food</t>
  </si>
  <si>
    <t>Racial Justice Event</t>
  </si>
  <si>
    <t>Ecumenical Events</t>
  </si>
  <si>
    <t>3E - Best Skills Best Churches</t>
  </si>
  <si>
    <t>Campus Ministry Funds</t>
  </si>
  <si>
    <t>ELCA - Chrysalis Grant</t>
  </si>
  <si>
    <t xml:space="preserve">     Generosity Conference</t>
  </si>
  <si>
    <t>Stewardship Consulting</t>
  </si>
  <si>
    <t>Other Refunds</t>
  </si>
  <si>
    <t>2023-24 BUDGET</t>
  </si>
  <si>
    <t xml:space="preserve">    Travel (AV Tech)</t>
  </si>
  <si>
    <t>Training - EIL - ELCA Systems Academy</t>
  </si>
  <si>
    <t>Food &amp; Catering</t>
  </si>
  <si>
    <t>LDR New Mexico Fire Response</t>
  </si>
  <si>
    <t>TOTAL REVENUES</t>
  </si>
  <si>
    <t>ELCA - Mission and SAWC Sites</t>
  </si>
  <si>
    <t xml:space="preserve">     MMRC Workshops</t>
  </si>
  <si>
    <t xml:space="preserve">     Border Immersion</t>
  </si>
  <si>
    <t xml:space="preserve">     Civil Rights Immersion</t>
  </si>
  <si>
    <t>EIL Tuition &amp; Training Fees</t>
  </si>
  <si>
    <t xml:space="preserve">      Bishop's Election</t>
  </si>
  <si>
    <t>Bishops Election</t>
  </si>
  <si>
    <t xml:space="preserve">    Global Mission Fund</t>
  </si>
  <si>
    <t>Global Mission</t>
  </si>
  <si>
    <t xml:space="preserve">    Companion Synod</t>
  </si>
  <si>
    <t>.</t>
  </si>
  <si>
    <t>Lutheran Day at the Capitol</t>
  </si>
  <si>
    <t>First Call &amp; Candidacy Retreats</t>
  </si>
  <si>
    <t/>
  </si>
  <si>
    <t xml:space="preserve">     Speakers &amp; Trainers</t>
  </si>
  <si>
    <t xml:space="preserve">     Venue , Lodging &amp; Meals</t>
  </si>
  <si>
    <t>Civil Rights Immersion</t>
  </si>
  <si>
    <t xml:space="preserve">     Speakers &amp; Translators &amp; Entertainment</t>
  </si>
  <si>
    <t>Prior Year Corrections</t>
  </si>
  <si>
    <t>Workshops &amp; Facilitations</t>
  </si>
  <si>
    <t>Utilities - MMRC Water Issue</t>
  </si>
  <si>
    <t>Youth Gathering &amp; Youth Events</t>
  </si>
  <si>
    <t>Travel - Program Travel</t>
  </si>
  <si>
    <t>Travel - Candidacy Committee</t>
  </si>
  <si>
    <t>Travel - Civil Rights Immersion</t>
  </si>
  <si>
    <t>Mission Sites -New Beginnings  &amp; Well of Hope</t>
  </si>
  <si>
    <t>Psychological Evaluations &amp; Testing</t>
  </si>
  <si>
    <t xml:space="preserve">     Synod Assembly</t>
  </si>
  <si>
    <t xml:space="preserve">     Theological Conference</t>
  </si>
  <si>
    <t xml:space="preserve">     Best Skills Best Churches</t>
  </si>
  <si>
    <t xml:space="preserve">     Synod Youth Gathering</t>
  </si>
  <si>
    <t xml:space="preserve">     First Call Retreat</t>
  </si>
  <si>
    <t xml:space="preserve">     Racial Justice Training Event</t>
  </si>
  <si>
    <t xml:space="preserve">     Preaching Ministry Workshop</t>
  </si>
  <si>
    <t xml:space="preserve">     Estate Gifts (George Devers )</t>
  </si>
  <si>
    <t xml:space="preserve">     RMS Campaign</t>
  </si>
  <si>
    <t xml:space="preserve">      Seminary Scholarship</t>
  </si>
  <si>
    <t xml:space="preserve">      Marshall Fire &amp; RMS Disaster Funds</t>
  </si>
  <si>
    <t xml:space="preserve">      Better Together</t>
  </si>
  <si>
    <t xml:space="preserve">      Memorial Funds</t>
  </si>
  <si>
    <t xml:space="preserve">       Messiah Mountain</t>
  </si>
  <si>
    <t xml:space="preserve">      3E/ Lilly Grant Contributions</t>
  </si>
  <si>
    <t>Worship Supply</t>
  </si>
  <si>
    <t>Synod Assembly</t>
  </si>
  <si>
    <t xml:space="preserve">Travel - First Call Candidates </t>
  </si>
  <si>
    <t>LAM - NM Bishops Lunch</t>
  </si>
  <si>
    <t>SCHOLARSHIPS, GRANTS &amp; DONATIONS</t>
  </si>
  <si>
    <t>Disaster Response Funds</t>
  </si>
  <si>
    <t>Seeds of Hope/Companion Synod Fund</t>
  </si>
  <si>
    <t>Messiah Mountain Fund</t>
  </si>
  <si>
    <t>Hunger Network Fund</t>
  </si>
  <si>
    <t>3E Lilly Grant Fund</t>
  </si>
  <si>
    <t>2023-24 ACTUALS - OPERATING FUND</t>
  </si>
  <si>
    <t>RMS Campaign Fund</t>
  </si>
  <si>
    <t>Events Admin</t>
  </si>
  <si>
    <t>Finance &amp; Admin</t>
  </si>
  <si>
    <t xml:space="preserve">Campus Ministry Support </t>
  </si>
  <si>
    <t>Latino Ministries - Milagro de la Frontera; Camino de Vida; Cristo Rey (D); Cristo Rey (EP)</t>
  </si>
  <si>
    <t>Seminaries - PLTS &amp; Betela</t>
  </si>
  <si>
    <t>Outdoor Ministries - Rainbow Trial &amp; Sky Ranch</t>
  </si>
  <si>
    <t xml:space="preserve">Outside Agencies </t>
  </si>
  <si>
    <t>Mission Sites - New Beginnings</t>
  </si>
  <si>
    <t>Current Year Compared to Previous Year</t>
  </si>
  <si>
    <t>Comparison to Budget (Current Year)</t>
  </si>
  <si>
    <t>Income and Expenses by Fund Type</t>
  </si>
  <si>
    <t>Operating Fund Breakdown -&gt;</t>
  </si>
  <si>
    <t>Enterprise Fund Breakdown</t>
  </si>
  <si>
    <t>Restricted Fund Breakdown -&gt;</t>
  </si>
  <si>
    <t>TOTAL OPERATING FUND</t>
  </si>
  <si>
    <t>TOTAL ENTERPRISE FUNDS</t>
  </si>
  <si>
    <t>TOTAL RESTRICTED FUNDS</t>
  </si>
  <si>
    <t>Earnings on Savings Accounts</t>
  </si>
  <si>
    <t xml:space="preserve">       Messiah Mountain Retreat Center</t>
  </si>
  <si>
    <t>Gifts, Donations &amp; Contributions</t>
  </si>
  <si>
    <t xml:space="preserve">      Global Mission Fund</t>
  </si>
  <si>
    <t>TOTAL SOURCES OF FUNDING</t>
  </si>
  <si>
    <t>TOTAL USES OF FUNDING</t>
  </si>
  <si>
    <t>NET CHANGE</t>
  </si>
  <si>
    <t>Messiah Mtn
Retreat Center</t>
  </si>
  <si>
    <t>SUMMARY</t>
  </si>
  <si>
    <t>Bequest Gifts</t>
  </si>
  <si>
    <t>Rocky Mountain Synod ELCA</t>
  </si>
  <si>
    <t>Statement of Revenues and Expenditures: Operating Fund</t>
  </si>
  <si>
    <t>Earnings on Savings</t>
  </si>
  <si>
    <t>2023-24 BUDGET - OPERATING FUND</t>
  </si>
  <si>
    <t xml:space="preserve">ELCA - Multi-cultural ministries </t>
  </si>
  <si>
    <t xml:space="preserve">     Candidacy Discernment Retreat</t>
  </si>
  <si>
    <t xml:space="preserve">     Thirsting Water Conference</t>
  </si>
  <si>
    <t>3E - SAS &amp; MEF Contributions</t>
  </si>
  <si>
    <t>Synod Assembly Sales</t>
  </si>
  <si>
    <t xml:space="preserve">      Estate Gifts </t>
  </si>
  <si>
    <t>Seminary Scholarship Fund</t>
  </si>
  <si>
    <t>Architect</t>
  </si>
  <si>
    <t>Resale</t>
  </si>
  <si>
    <t>2022-23 ACTUALS - OPERATING FUND</t>
  </si>
  <si>
    <t>Mission Support (47.5% congregation mission)</t>
  </si>
  <si>
    <t>FY 2023-2024 Ending January 31, 2024 (unaudited)</t>
  </si>
  <si>
    <t>Statement of Income and Revenue - All Funds</t>
  </si>
  <si>
    <t>ROCKY MOUNTAIN SYNOD ELCA</t>
  </si>
  <si>
    <t>Fiscal Year Ending January 31, 2024 (unaudited)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</si>
</sst>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2">
    <xf numFmtId="0" fontId="0" fillId="0" borderId="0" xfId="0"/>
    <xf numFmtId="0" fontId="3" fillId="0" borderId="0" xfId="0" applyFont="1" applyAlignment="1">
      <alignment vertical="center"/>
    </xf>
    <xf numFmtId="6" fontId="3" fillId="0" borderId="0" xfId="0" applyNumberFormat="1" applyFont="1" applyAlignment="1">
      <alignment vertical="center"/>
    </xf>
    <xf numFmtId="8" fontId="3" fillId="0" borderId="0" xfId="0" applyNumberFormat="1" applyFont="1" applyAlignment="1">
      <alignment vertical="center"/>
    </xf>
    <xf numFmtId="6" fontId="3" fillId="0" borderId="0" xfId="0" applyNumberFormat="1" applyFont="1" applyAlignment="1">
      <alignment horizontal="right" vertical="center"/>
    </xf>
    <xf numFmtId="6" fontId="3" fillId="0" borderId="0" xfId="0" applyNumberFormat="1" applyFont="1" applyAlignment="1">
      <alignment horizontal="right" vertical="center" wrapText="1"/>
    </xf>
    <xf numFmtId="8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6" fontId="4" fillId="0" borderId="0" xfId="0" applyNumberFormat="1" applyFont="1" applyAlignment="1">
      <alignment vertical="center"/>
    </xf>
    <xf numFmtId="8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6" fontId="5" fillId="0" borderId="0" xfId="0" applyNumberFormat="1" applyFont="1" applyAlignment="1">
      <alignment vertical="center"/>
    </xf>
    <xf numFmtId="8" fontId="5" fillId="0" borderId="0" xfId="0" applyNumberFormat="1" applyFont="1" applyAlignment="1">
      <alignment vertical="center"/>
    </xf>
    <xf numFmtId="6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6" fontId="1" fillId="0" borderId="0" xfId="0" applyNumberFormat="1" applyFont="1" applyAlignment="1">
      <alignment vertical="center"/>
    </xf>
    <xf numFmtId="10" fontId="1" fillId="0" borderId="0" xfId="0" applyNumberFormat="1" applyFont="1" applyAlignment="1">
      <alignment horizontal="center" vertical="center"/>
    </xf>
    <xf numFmtId="6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8" fontId="6" fillId="0" borderId="0" xfId="0" applyNumberFormat="1" applyFont="1" applyAlignment="1">
      <alignment vertical="center"/>
    </xf>
    <xf numFmtId="6" fontId="1" fillId="0" borderId="0" xfId="0" applyNumberFormat="1" applyFont="1" applyAlignment="1">
      <alignment horizontal="right" vertical="center" wrapText="1"/>
    </xf>
    <xf numFmtId="43" fontId="3" fillId="0" borderId="0" xfId="1" applyFont="1" applyAlignment="1">
      <alignment vertical="center"/>
    </xf>
    <xf numFmtId="0" fontId="0" fillId="0" borderId="0" xfId="0" applyAlignment="1">
      <alignment horizontal="center" vertical="center" wrapText="1"/>
    </xf>
    <xf numFmtId="6" fontId="7" fillId="0" borderId="0" xfId="0" applyNumberFormat="1" applyFont="1" applyAlignment="1">
      <alignment horizontal="center" vertical="center" wrapText="1"/>
    </xf>
    <xf numFmtId="8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6" fontId="0" fillId="0" borderId="0" xfId="0" applyNumberFormat="1" applyAlignment="1">
      <alignment vertical="center"/>
    </xf>
    <xf numFmtId="8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6" fontId="0" fillId="0" borderId="0" xfId="0" applyNumberFormat="1" applyAlignment="1">
      <alignment horizontal="right" vertical="center" wrapText="1"/>
    </xf>
    <xf numFmtId="8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3" fontId="0" fillId="0" borderId="0" xfId="1" applyFont="1" applyAlignment="1">
      <alignment vertical="center"/>
    </xf>
    <xf numFmtId="6" fontId="8" fillId="0" borderId="0" xfId="0" applyNumberFormat="1" applyFont="1" applyAlignment="1">
      <alignment vertical="center"/>
    </xf>
    <xf numFmtId="6" fontId="9" fillId="0" borderId="0" xfId="0" applyNumberFormat="1" applyFont="1" applyAlignment="1">
      <alignment vertical="center"/>
    </xf>
    <xf numFmtId="8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8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6" fontId="7" fillId="0" borderId="0" xfId="0" applyNumberFormat="1" applyFont="1" applyAlignment="1">
      <alignment vertical="center"/>
    </xf>
    <xf numFmtId="8" fontId="7" fillId="0" borderId="0" xfId="0" applyNumberFormat="1" applyFont="1" applyAlignment="1">
      <alignment vertical="center"/>
    </xf>
    <xf numFmtId="6" fontId="7" fillId="5" borderId="3" xfId="0" applyNumberFormat="1" applyFont="1" applyFill="1" applyBorder="1" applyAlignment="1">
      <alignment horizontal="center" vertical="center" wrapText="1"/>
    </xf>
    <xf numFmtId="6" fontId="7" fillId="4" borderId="5" xfId="0" applyNumberFormat="1" applyFont="1" applyFill="1" applyBorder="1" applyAlignment="1">
      <alignment horizontal="center" vertical="center" wrapText="1"/>
    </xf>
    <xf numFmtId="6" fontId="3" fillId="4" borderId="6" xfId="0" applyNumberFormat="1" applyFont="1" applyFill="1" applyBorder="1" applyAlignment="1">
      <alignment horizontal="right" vertical="center"/>
    </xf>
    <xf numFmtId="6" fontId="7" fillId="2" borderId="5" xfId="0" applyNumberFormat="1" applyFont="1" applyFill="1" applyBorder="1" applyAlignment="1">
      <alignment horizontal="center" vertical="center" wrapText="1"/>
    </xf>
    <xf numFmtId="6" fontId="3" fillId="2" borderId="6" xfId="0" applyNumberFormat="1" applyFont="1" applyFill="1" applyBorder="1" applyAlignment="1">
      <alignment horizontal="right" vertical="center"/>
    </xf>
    <xf numFmtId="6" fontId="7" fillId="5" borderId="7" xfId="0" applyNumberFormat="1" applyFont="1" applyFill="1" applyBorder="1" applyAlignment="1">
      <alignment horizontal="center" vertical="center" wrapText="1"/>
    </xf>
    <xf numFmtId="10" fontId="7" fillId="5" borderId="10" xfId="0" applyNumberFormat="1" applyFont="1" applyFill="1" applyBorder="1" applyAlignment="1">
      <alignment horizontal="center" vertical="center" wrapText="1"/>
    </xf>
    <xf numFmtId="6" fontId="7" fillId="5" borderId="13" xfId="0" applyNumberFormat="1" applyFont="1" applyFill="1" applyBorder="1" applyAlignment="1">
      <alignment horizontal="center" vertical="center" wrapText="1"/>
    </xf>
    <xf numFmtId="6" fontId="7" fillId="5" borderId="14" xfId="0" applyNumberFormat="1" applyFont="1" applyFill="1" applyBorder="1" applyAlignment="1">
      <alignment horizontal="center" vertical="center" wrapText="1"/>
    </xf>
    <xf numFmtId="6" fontId="7" fillId="5" borderId="17" xfId="0" applyNumberFormat="1" applyFont="1" applyFill="1" applyBorder="1" applyAlignment="1">
      <alignment horizontal="center" vertical="center" wrapText="1"/>
    </xf>
    <xf numFmtId="43" fontId="0" fillId="0" borderId="6" xfId="1" applyFont="1" applyBorder="1" applyAlignment="1">
      <alignment vertical="center"/>
    </xf>
    <xf numFmtId="43" fontId="0" fillId="0" borderId="0" xfId="1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8" fontId="7" fillId="5" borderId="3" xfId="0" applyNumberFormat="1" applyFont="1" applyFill="1" applyBorder="1" applyAlignment="1">
      <alignment horizontal="center" vertical="center" wrapText="1"/>
    </xf>
    <xf numFmtId="6" fontId="0" fillId="5" borderId="22" xfId="0" applyNumberFormat="1" applyFill="1" applyBorder="1" applyAlignment="1">
      <alignment vertical="center"/>
    </xf>
    <xf numFmtId="6" fontId="0" fillId="5" borderId="26" xfId="0" applyNumberFormat="1" applyFill="1" applyBorder="1" applyAlignment="1">
      <alignment vertical="center"/>
    </xf>
    <xf numFmtId="10" fontId="0" fillId="0" borderId="0" xfId="0" applyNumberFormat="1" applyAlignment="1">
      <alignment horizontal="center" vertical="center"/>
    </xf>
    <xf numFmtId="10" fontId="1" fillId="0" borderId="8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9" fontId="0" fillId="0" borderId="0" xfId="3" applyFont="1" applyAlignment="1">
      <alignment vertical="center"/>
    </xf>
    <xf numFmtId="37" fontId="7" fillId="0" borderId="8" xfId="0" applyNumberFormat="1" applyFont="1" applyBorder="1" applyAlignment="1">
      <alignment horizontal="center" vertical="center" wrapText="1"/>
    </xf>
    <xf numFmtId="37" fontId="0" fillId="0" borderId="0" xfId="0" applyNumberFormat="1" applyAlignment="1">
      <alignment vertical="center"/>
    </xf>
    <xf numFmtId="37" fontId="0" fillId="0" borderId="8" xfId="0" applyNumberFormat="1" applyBorder="1" applyAlignment="1">
      <alignment horizontal="center" vertical="center"/>
    </xf>
    <xf numFmtId="9" fontId="7" fillId="0" borderId="8" xfId="3" applyFont="1" applyBorder="1" applyAlignment="1">
      <alignment horizontal="center" vertical="center" wrapText="1"/>
    </xf>
    <xf numFmtId="9" fontId="0" fillId="0" borderId="8" xfId="3" applyFont="1" applyBorder="1" applyAlignment="1">
      <alignment horizontal="center" vertical="center"/>
    </xf>
    <xf numFmtId="9" fontId="7" fillId="0" borderId="25" xfId="3" applyFont="1" applyBorder="1" applyAlignment="1">
      <alignment horizontal="center" vertical="center"/>
    </xf>
    <xf numFmtId="9" fontId="7" fillId="5" borderId="25" xfId="3" applyFont="1" applyFill="1" applyBorder="1" applyAlignment="1">
      <alignment horizontal="center" vertical="center"/>
    </xf>
    <xf numFmtId="9" fontId="7" fillId="0" borderId="8" xfId="3" applyFont="1" applyBorder="1" applyAlignment="1">
      <alignment horizontal="center" vertical="center"/>
    </xf>
    <xf numFmtId="9" fontId="7" fillId="5" borderId="9" xfId="3" applyFont="1" applyFill="1" applyBorder="1" applyAlignment="1">
      <alignment horizontal="center" vertical="center"/>
    </xf>
    <xf numFmtId="5" fontId="8" fillId="4" borderId="6" xfId="2" applyNumberFormat="1" applyFont="1" applyFill="1" applyBorder="1" applyAlignment="1">
      <alignment horizontal="center" vertical="center" wrapText="1"/>
    </xf>
    <xf numFmtId="5" fontId="8" fillId="0" borderId="0" xfId="2" applyNumberFormat="1" applyFont="1" applyAlignment="1">
      <alignment horizontal="right" vertical="center" wrapText="1"/>
    </xf>
    <xf numFmtId="5" fontId="8" fillId="2" borderId="6" xfId="2" applyNumberFormat="1" applyFont="1" applyFill="1" applyBorder="1" applyAlignment="1">
      <alignment horizontal="right" vertical="center" wrapText="1"/>
    </xf>
    <xf numFmtId="5" fontId="8" fillId="4" borderId="6" xfId="2" applyNumberFormat="1" applyFont="1" applyFill="1" applyBorder="1" applyAlignment="1">
      <alignment horizontal="right" vertical="center" wrapText="1"/>
    </xf>
    <xf numFmtId="5" fontId="0" fillId="4" borderId="6" xfId="2" applyNumberFormat="1" applyFont="1" applyFill="1" applyBorder="1" applyAlignment="1">
      <alignment vertical="center"/>
    </xf>
    <xf numFmtId="5" fontId="0" fillId="0" borderId="0" xfId="2" applyNumberFormat="1" applyFont="1" applyAlignment="1">
      <alignment vertical="center"/>
    </xf>
    <xf numFmtId="5" fontId="0" fillId="2" borderId="6" xfId="2" applyNumberFormat="1" applyFont="1" applyFill="1" applyBorder="1" applyAlignment="1">
      <alignment vertical="center"/>
    </xf>
    <xf numFmtId="5" fontId="7" fillId="4" borderId="15" xfId="2" applyNumberFormat="1" applyFont="1" applyFill="1" applyBorder="1" applyAlignment="1">
      <alignment vertical="center"/>
    </xf>
    <xf numFmtId="5" fontId="7" fillId="0" borderId="2" xfId="2" applyNumberFormat="1" applyFont="1" applyBorder="1" applyAlignment="1">
      <alignment vertical="center"/>
    </xf>
    <xf numFmtId="5" fontId="7" fillId="2" borderId="15" xfId="2" applyNumberFormat="1" applyFont="1" applyFill="1" applyBorder="1" applyAlignment="1">
      <alignment vertical="center"/>
    </xf>
    <xf numFmtId="5" fontId="9" fillId="4" borderId="6" xfId="2" applyNumberFormat="1" applyFont="1" applyFill="1" applyBorder="1" applyAlignment="1">
      <alignment vertical="center"/>
    </xf>
    <xf numFmtId="5" fontId="7" fillId="5" borderId="2" xfId="2" applyNumberFormat="1" applyFont="1" applyFill="1" applyBorder="1" applyAlignment="1">
      <alignment vertical="center"/>
    </xf>
    <xf numFmtId="5" fontId="7" fillId="5" borderId="16" xfId="2" applyNumberFormat="1" applyFont="1" applyFill="1" applyBorder="1" applyAlignment="1">
      <alignment vertical="center"/>
    </xf>
    <xf numFmtId="5" fontId="9" fillId="0" borderId="0" xfId="2" applyNumberFormat="1" applyFont="1" applyBorder="1" applyAlignment="1">
      <alignment vertical="center"/>
    </xf>
    <xf numFmtId="5" fontId="9" fillId="2" borderId="6" xfId="2" applyNumberFormat="1" applyFont="1" applyFill="1" applyBorder="1" applyAlignment="1">
      <alignment vertical="center"/>
    </xf>
    <xf numFmtId="5" fontId="8" fillId="4" borderId="6" xfId="2" applyNumberFormat="1" applyFont="1" applyFill="1" applyBorder="1" applyAlignment="1">
      <alignment vertical="center"/>
    </xf>
    <xf numFmtId="5" fontId="8" fillId="0" borderId="0" xfId="2" applyNumberFormat="1" applyFont="1" applyAlignment="1">
      <alignment vertical="center"/>
    </xf>
    <xf numFmtId="5" fontId="8" fillId="2" borderId="6" xfId="2" applyNumberFormat="1" applyFont="1" applyFill="1" applyBorder="1" applyAlignment="1">
      <alignment vertical="center"/>
    </xf>
    <xf numFmtId="5" fontId="9" fillId="0" borderId="0" xfId="2" applyNumberFormat="1" applyFont="1" applyAlignment="1">
      <alignment vertical="center"/>
    </xf>
    <xf numFmtId="5" fontId="7" fillId="4" borderId="4" xfId="2" applyNumberFormat="1" applyFont="1" applyFill="1" applyBorder="1" applyAlignment="1">
      <alignment vertical="center"/>
    </xf>
    <xf numFmtId="5" fontId="7" fillId="5" borderId="1" xfId="2" applyNumberFormat="1" applyFont="1" applyFill="1" applyBorder="1" applyAlignment="1">
      <alignment vertical="center"/>
    </xf>
    <xf numFmtId="5" fontId="7" fillId="2" borderId="4" xfId="2" applyNumberFormat="1" applyFont="1" applyFill="1" applyBorder="1" applyAlignment="1">
      <alignment vertical="center"/>
    </xf>
    <xf numFmtId="5" fontId="3" fillId="0" borderId="12" xfId="0" applyNumberFormat="1" applyFont="1" applyBorder="1" applyAlignment="1">
      <alignment horizontal="right" vertical="center"/>
    </xf>
    <xf numFmtId="5" fontId="3" fillId="0" borderId="0" xfId="0" applyNumberFormat="1" applyFont="1" applyAlignment="1">
      <alignment horizontal="right" vertical="center"/>
    </xf>
    <xf numFmtId="5" fontId="3" fillId="0" borderId="0" xfId="0" applyNumberFormat="1" applyFont="1" applyAlignment="1">
      <alignment horizontal="right" vertical="center" wrapText="1"/>
    </xf>
    <xf numFmtId="5" fontId="8" fillId="0" borderId="12" xfId="0" applyNumberFormat="1" applyFont="1" applyBorder="1" applyAlignment="1">
      <alignment horizontal="right" vertical="center" wrapText="1"/>
    </xf>
    <xf numFmtId="5" fontId="8" fillId="0" borderId="0" xfId="0" applyNumberFormat="1" applyFont="1" applyAlignment="1">
      <alignment horizontal="right" vertical="center" wrapText="1"/>
    </xf>
    <xf numFmtId="5" fontId="0" fillId="0" borderId="0" xfId="0" applyNumberFormat="1" applyAlignment="1">
      <alignment horizontal="right" vertical="center" wrapText="1"/>
    </xf>
    <xf numFmtId="5" fontId="0" fillId="0" borderId="12" xfId="0" applyNumberFormat="1" applyBorder="1" applyAlignment="1">
      <alignment horizontal="right" vertical="center"/>
    </xf>
    <xf numFmtId="5" fontId="0" fillId="0" borderId="0" xfId="0" applyNumberFormat="1" applyAlignment="1">
      <alignment horizontal="right" vertical="center"/>
    </xf>
    <xf numFmtId="5" fontId="0" fillId="0" borderId="12" xfId="0" applyNumberFormat="1" applyBorder="1" applyAlignment="1">
      <alignment vertical="center"/>
    </xf>
    <xf numFmtId="5" fontId="0" fillId="0" borderId="0" xfId="0" applyNumberFormat="1" applyAlignment="1">
      <alignment vertical="center"/>
    </xf>
    <xf numFmtId="5" fontId="10" fillId="0" borderId="0" xfId="0" applyNumberFormat="1" applyFont="1" applyAlignment="1">
      <alignment vertical="center"/>
    </xf>
    <xf numFmtId="5" fontId="0" fillId="0" borderId="0" xfId="1" applyNumberFormat="1" applyFont="1" applyBorder="1" applyAlignment="1">
      <alignment vertical="center"/>
    </xf>
    <xf numFmtId="5" fontId="0" fillId="0" borderId="0" xfId="1" applyNumberFormat="1" applyFont="1" applyAlignment="1">
      <alignment vertical="center"/>
    </xf>
    <xf numFmtId="5" fontId="0" fillId="0" borderId="0" xfId="1" applyNumberFormat="1" applyFont="1" applyFill="1" applyAlignment="1">
      <alignment vertical="center"/>
    </xf>
    <xf numFmtId="5" fontId="7" fillId="0" borderId="0" xfId="0" applyNumberFormat="1" applyFont="1" applyAlignment="1">
      <alignment vertical="center"/>
    </xf>
    <xf numFmtId="5" fontId="7" fillId="0" borderId="21" xfId="0" applyNumberFormat="1" applyFont="1" applyBorder="1" applyAlignment="1">
      <alignment vertical="center"/>
    </xf>
    <xf numFmtId="5" fontId="7" fillId="0" borderId="2" xfId="0" applyNumberFormat="1" applyFont="1" applyBorder="1" applyAlignment="1">
      <alignment vertical="center"/>
    </xf>
    <xf numFmtId="5" fontId="8" fillId="0" borderId="0" xfId="0" applyNumberFormat="1" applyFont="1" applyAlignment="1">
      <alignment vertical="center"/>
    </xf>
    <xf numFmtId="5" fontId="7" fillId="5" borderId="21" xfId="1" applyNumberFormat="1" applyFont="1" applyFill="1" applyBorder="1" applyAlignment="1">
      <alignment vertical="center"/>
    </xf>
    <xf numFmtId="5" fontId="7" fillId="5" borderId="2" xfId="1" applyNumberFormat="1" applyFont="1" applyFill="1" applyBorder="1" applyAlignment="1">
      <alignment vertical="center"/>
    </xf>
    <xf numFmtId="5" fontId="7" fillId="5" borderId="16" xfId="1" applyNumberFormat="1" applyFont="1" applyFill="1" applyBorder="1" applyAlignment="1">
      <alignment vertical="center"/>
    </xf>
    <xf numFmtId="5" fontId="9" fillId="0" borderId="12" xfId="1" applyNumberFormat="1" applyFont="1" applyBorder="1" applyAlignment="1">
      <alignment vertical="center"/>
    </xf>
    <xf numFmtId="5" fontId="9" fillId="0" borderId="0" xfId="1" applyNumberFormat="1" applyFont="1" applyBorder="1" applyAlignment="1">
      <alignment vertical="center"/>
    </xf>
    <xf numFmtId="5" fontId="9" fillId="3" borderId="0" xfId="1" applyNumberFormat="1" applyFont="1" applyFill="1" applyBorder="1" applyAlignment="1">
      <alignment vertical="center"/>
    </xf>
    <xf numFmtId="5" fontId="9" fillId="0" borderId="0" xfId="1" applyNumberFormat="1" applyFont="1" applyFill="1" applyBorder="1" applyAlignment="1">
      <alignment vertical="center"/>
    </xf>
    <xf numFmtId="5" fontId="8" fillId="0" borderId="12" xfId="0" applyNumberFormat="1" applyFont="1" applyBorder="1" applyAlignment="1">
      <alignment vertical="center"/>
    </xf>
    <xf numFmtId="5" fontId="0" fillId="0" borderId="0" xfId="0" quotePrefix="1" applyNumberFormat="1" applyAlignment="1">
      <alignment vertical="center"/>
    </xf>
    <xf numFmtId="5" fontId="7" fillId="5" borderId="21" xfId="0" applyNumberFormat="1" applyFont="1" applyFill="1" applyBorder="1" applyAlignment="1">
      <alignment vertical="center"/>
    </xf>
    <xf numFmtId="5" fontId="7" fillId="5" borderId="2" xfId="0" applyNumberFormat="1" applyFont="1" applyFill="1" applyBorder="1" applyAlignment="1">
      <alignment vertical="center"/>
    </xf>
    <xf numFmtId="5" fontId="9" fillId="0" borderId="0" xfId="0" applyNumberFormat="1" applyFont="1" applyAlignment="1">
      <alignment vertical="center"/>
    </xf>
    <xf numFmtId="5" fontId="7" fillId="5" borderId="11" xfId="0" applyNumberFormat="1" applyFont="1" applyFill="1" applyBorder="1" applyAlignment="1">
      <alignment vertical="center"/>
    </xf>
    <xf numFmtId="5" fontId="7" fillId="5" borderId="1" xfId="0" applyNumberFormat="1" applyFont="1" applyFill="1" applyBorder="1" applyAlignment="1">
      <alignment vertical="center"/>
    </xf>
    <xf numFmtId="5" fontId="7" fillId="0" borderId="21" xfId="0" applyNumberFormat="1" applyFont="1" applyBorder="1" applyAlignment="1">
      <alignment horizontal="right" vertical="center"/>
    </xf>
    <xf numFmtId="5" fontId="7" fillId="0" borderId="2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0" fontId="7" fillId="5" borderId="16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7" fillId="5" borderId="24" xfId="0" applyFont="1" applyFill="1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7" fillId="0" borderId="16" xfId="0" applyFont="1" applyBorder="1" applyAlignment="1">
      <alignment horizontal="right" vertical="center"/>
    </xf>
    <xf numFmtId="5" fontId="2" fillId="0" borderId="0" xfId="2" applyNumberFormat="1" applyFont="1" applyAlignment="1">
      <alignment vertical="center"/>
    </xf>
    <xf numFmtId="0" fontId="11" fillId="0" borderId="0" xfId="0" applyFont="1" applyAlignment="1">
      <alignment vertical="center"/>
    </xf>
    <xf numFmtId="5" fontId="10" fillId="0" borderId="0" xfId="2" applyNumberFormat="1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9" fontId="7" fillId="0" borderId="0" xfId="3" applyFont="1" applyFill="1" applyAlignment="1">
      <alignment vertical="center"/>
    </xf>
    <xf numFmtId="5" fontId="7" fillId="0" borderId="0" xfId="2" applyNumberFormat="1" applyFont="1" applyFill="1" applyAlignment="1">
      <alignment vertical="center"/>
    </xf>
    <xf numFmtId="6" fontId="11" fillId="0" borderId="0" xfId="0" applyNumberFormat="1" applyFont="1" applyAlignment="1">
      <alignment vertical="center"/>
    </xf>
    <xf numFmtId="5" fontId="1" fillId="0" borderId="0" xfId="2" applyNumberFormat="1" applyFont="1" applyAlignment="1">
      <alignment horizontal="right" vertical="center"/>
    </xf>
    <xf numFmtId="5" fontId="7" fillId="0" borderId="0" xfId="2" applyNumberFormat="1" applyFont="1" applyFill="1" applyAlignment="1">
      <alignment horizontal="right" vertical="center" wrapText="1"/>
    </xf>
    <xf numFmtId="6" fontId="7" fillId="0" borderId="0" xfId="0" applyNumberFormat="1" applyFont="1" applyAlignment="1">
      <alignment horizontal="right" vertical="center" wrapText="1"/>
    </xf>
    <xf numFmtId="5" fontId="2" fillId="0" borderId="0" xfId="2" applyNumberFormat="1" applyFont="1" applyFill="1" applyAlignment="1">
      <alignment horizontal="right" vertical="center" wrapText="1"/>
    </xf>
    <xf numFmtId="5" fontId="2" fillId="0" borderId="0" xfId="2" applyNumberFormat="1" applyFont="1" applyFill="1" applyAlignment="1">
      <alignment horizontal="right" vertical="center"/>
    </xf>
    <xf numFmtId="5" fontId="2" fillId="0" borderId="0" xfId="2" applyNumberFormat="1" applyFont="1" applyFill="1" applyAlignment="1">
      <alignment vertical="center"/>
    </xf>
    <xf numFmtId="9" fontId="2" fillId="0" borderId="0" xfId="3" applyFont="1" applyFill="1" applyAlignment="1">
      <alignment horizontal="center" vertical="center"/>
    </xf>
    <xf numFmtId="9" fontId="2" fillId="0" borderId="0" xfId="3" applyFont="1" applyFill="1" applyAlignment="1">
      <alignment horizontal="right" vertical="center"/>
    </xf>
    <xf numFmtId="43" fontId="2" fillId="0" borderId="0" xfId="1" applyFont="1" applyFill="1" applyAlignment="1">
      <alignment vertical="center"/>
    </xf>
    <xf numFmtId="9" fontId="2" fillId="0" borderId="0" xfId="3" applyFont="1" applyFill="1" applyAlignment="1">
      <alignment vertical="center"/>
    </xf>
    <xf numFmtId="5" fontId="2" fillId="0" borderId="0" xfId="2" applyNumberFormat="1" applyFont="1" applyFill="1" applyBorder="1" applyAlignment="1">
      <alignment vertical="center"/>
    </xf>
    <xf numFmtId="9" fontId="2" fillId="0" borderId="0" xfId="3" applyFont="1" applyFill="1" applyBorder="1" applyAlignment="1">
      <alignment vertical="center"/>
    </xf>
    <xf numFmtId="5" fontId="2" fillId="0" borderId="0" xfId="2" quotePrefix="1" applyNumberFormat="1" applyFont="1" applyFill="1" applyAlignment="1">
      <alignment vertical="center"/>
    </xf>
    <xf numFmtId="9" fontId="2" fillId="0" borderId="0" xfId="3" applyFont="1" applyFill="1" applyBorder="1" applyAlignment="1">
      <alignment horizontal="center" vertical="center"/>
    </xf>
    <xf numFmtId="6" fontId="1" fillId="0" borderId="6" xfId="0" applyNumberFormat="1" applyFont="1" applyBorder="1" applyAlignment="1">
      <alignment horizontal="right" vertical="center" wrapText="1"/>
    </xf>
    <xf numFmtId="5" fontId="2" fillId="0" borderId="6" xfId="2" applyNumberFormat="1" applyFont="1" applyFill="1" applyBorder="1" applyAlignment="1">
      <alignment horizontal="right" vertical="center" wrapText="1"/>
    </xf>
    <xf numFmtId="5" fontId="2" fillId="0" borderId="6" xfId="2" applyNumberFormat="1" applyFont="1" applyFill="1" applyBorder="1" applyAlignment="1">
      <alignment vertical="center"/>
    </xf>
    <xf numFmtId="5" fontId="7" fillId="0" borderId="6" xfId="2" applyNumberFormat="1" applyFont="1" applyFill="1" applyBorder="1" applyAlignment="1">
      <alignment vertical="center"/>
    </xf>
    <xf numFmtId="5" fontId="2" fillId="0" borderId="0" xfId="2" applyNumberFormat="1" applyFont="1" applyFill="1" applyAlignment="1">
      <alignment horizontal="left" vertical="center"/>
    </xf>
    <xf numFmtId="9" fontId="2" fillId="0" borderId="0" xfId="3" applyFont="1" applyFill="1" applyAlignment="1">
      <alignment horizontal="left" vertical="center"/>
    </xf>
    <xf numFmtId="5" fontId="2" fillId="0" borderId="6" xfId="2" applyNumberFormat="1" applyFont="1" applyFill="1" applyBorder="1" applyAlignment="1">
      <alignment horizontal="left" vertical="center"/>
    </xf>
    <xf numFmtId="6" fontId="3" fillId="0" borderId="0" xfId="0" applyNumberFormat="1" applyFont="1" applyAlignment="1">
      <alignment horizontal="left" vertical="center"/>
    </xf>
    <xf numFmtId="8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5" borderId="1" xfId="0" applyFill="1" applyBorder="1" applyAlignment="1">
      <alignment vertical="center"/>
    </xf>
    <xf numFmtId="9" fontId="2" fillId="5" borderId="1" xfId="3" applyFont="1" applyFill="1" applyBorder="1" applyAlignment="1">
      <alignment horizontal="center" vertical="center"/>
    </xf>
    <xf numFmtId="5" fontId="7" fillId="5" borderId="4" xfId="2" applyNumberFormat="1" applyFont="1" applyFill="1" applyBorder="1" applyAlignment="1">
      <alignment vertical="center"/>
    </xf>
    <xf numFmtId="5" fontId="7" fillId="0" borderId="2" xfId="2" applyNumberFormat="1" applyFont="1" applyFill="1" applyBorder="1" applyAlignment="1">
      <alignment vertical="center"/>
    </xf>
    <xf numFmtId="9" fontId="7" fillId="0" borderId="2" xfId="3" applyFont="1" applyFill="1" applyBorder="1" applyAlignment="1">
      <alignment horizontal="center" vertical="center"/>
    </xf>
    <xf numFmtId="5" fontId="7" fillId="0" borderId="15" xfId="2" applyNumberFormat="1" applyFont="1" applyFill="1" applyBorder="1" applyAlignment="1">
      <alignment vertical="center"/>
    </xf>
    <xf numFmtId="9" fontId="7" fillId="5" borderId="1" xfId="3" applyFont="1" applyFill="1" applyBorder="1" applyAlignment="1">
      <alignment vertical="center"/>
    </xf>
    <xf numFmtId="0" fontId="7" fillId="5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right" vertical="center"/>
    </xf>
    <xf numFmtId="5" fontId="7" fillId="4" borderId="0" xfId="2" applyNumberFormat="1" applyFont="1" applyFill="1" applyAlignment="1">
      <alignment horizontal="right" vertical="center" wrapText="1"/>
    </xf>
    <xf numFmtId="5" fontId="2" fillId="4" borderId="0" xfId="2" applyNumberFormat="1" applyFont="1" applyFill="1" applyAlignment="1">
      <alignment horizontal="right" vertical="center"/>
    </xf>
    <xf numFmtId="5" fontId="7" fillId="4" borderId="2" xfId="2" applyNumberFormat="1" applyFont="1" applyFill="1" applyBorder="1" applyAlignment="1">
      <alignment vertical="center"/>
    </xf>
    <xf numFmtId="5" fontId="2" fillId="4" borderId="0" xfId="2" applyNumberFormat="1" applyFont="1" applyFill="1" applyAlignment="1">
      <alignment vertical="center"/>
    </xf>
    <xf numFmtId="5" fontId="7" fillId="4" borderId="1" xfId="2" applyNumberFormat="1" applyFont="1" applyFill="1" applyBorder="1" applyAlignment="1">
      <alignment vertical="center"/>
    </xf>
    <xf numFmtId="5" fontId="2" fillId="4" borderId="0" xfId="2" applyNumberFormat="1" applyFont="1" applyFill="1" applyBorder="1" applyAlignment="1">
      <alignment vertical="center"/>
    </xf>
    <xf numFmtId="5" fontId="2" fillId="4" borderId="0" xfId="2" applyNumberFormat="1" applyFont="1" applyFill="1" applyAlignment="1">
      <alignment horizontal="left" vertical="center"/>
    </xf>
    <xf numFmtId="5" fontId="1" fillId="4" borderId="0" xfId="2" applyNumberFormat="1" applyFont="1" applyFill="1" applyAlignment="1">
      <alignment horizontal="right" vertical="center"/>
    </xf>
    <xf numFmtId="0" fontId="7" fillId="4" borderId="0" xfId="0" applyFont="1" applyFill="1" applyAlignment="1">
      <alignment vertical="center" wrapText="1"/>
    </xf>
    <xf numFmtId="5" fontId="2" fillId="4" borderId="0" xfId="2" applyNumberFormat="1" applyFont="1" applyFill="1" applyBorder="1" applyAlignment="1">
      <alignment horizontal="right" vertical="center"/>
    </xf>
    <xf numFmtId="0" fontId="0" fillId="0" borderId="23" xfId="0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9" fontId="2" fillId="0" borderId="8" xfId="3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left" vertical="center"/>
    </xf>
    <xf numFmtId="9" fontId="2" fillId="0" borderId="8" xfId="3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23" xfId="0" applyFont="1" applyBorder="1" applyAlignment="1">
      <alignment vertical="center"/>
    </xf>
    <xf numFmtId="5" fontId="0" fillId="0" borderId="0" xfId="2" applyNumberFormat="1" applyFont="1" applyFill="1" applyAlignment="1">
      <alignment vertical="center"/>
    </xf>
    <xf numFmtId="43" fontId="9" fillId="0" borderId="23" xfId="1" applyFont="1" applyBorder="1" applyAlignment="1">
      <alignment vertical="center"/>
    </xf>
    <xf numFmtId="6" fontId="7" fillId="5" borderId="28" xfId="0" applyNumberFormat="1" applyFont="1" applyFill="1" applyBorder="1" applyAlignment="1">
      <alignment horizontal="center" vertical="center" wrapText="1"/>
    </xf>
    <xf numFmtId="5" fontId="1" fillId="0" borderId="0" xfId="2" applyNumberFormat="1" applyFont="1" applyFill="1" applyAlignment="1">
      <alignment horizontal="right" vertical="center"/>
    </xf>
    <xf numFmtId="0" fontId="7" fillId="0" borderId="0" xfId="0" applyFont="1" applyAlignment="1">
      <alignment vertical="center" wrapText="1"/>
    </xf>
    <xf numFmtId="5" fontId="2" fillId="0" borderId="0" xfId="2" applyNumberFormat="1" applyFont="1" applyFill="1" applyBorder="1" applyAlignment="1">
      <alignment horizontal="right" vertical="center"/>
    </xf>
    <xf numFmtId="5" fontId="7" fillId="0" borderId="1" xfId="2" applyNumberFormat="1" applyFont="1" applyFill="1" applyBorder="1" applyAlignment="1">
      <alignment vertical="center"/>
    </xf>
    <xf numFmtId="5" fontId="0" fillId="0" borderId="0" xfId="2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6" fontId="7" fillId="5" borderId="18" xfId="0" applyNumberFormat="1" applyFont="1" applyFill="1" applyBorder="1" applyAlignment="1">
      <alignment horizontal="center" vertical="center"/>
    </xf>
    <xf numFmtId="6" fontId="7" fillId="5" borderId="19" xfId="0" applyNumberFormat="1" applyFont="1" applyFill="1" applyBorder="1" applyAlignment="1">
      <alignment horizontal="center" vertical="center"/>
    </xf>
    <xf numFmtId="6" fontId="7" fillId="5" borderId="20" xfId="0" applyNumberFormat="1" applyFont="1" applyFill="1" applyBorder="1" applyAlignment="1">
      <alignment horizontal="center" vertical="center"/>
    </xf>
    <xf numFmtId="6" fontId="7" fillId="5" borderId="21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6" fontId="7" fillId="5" borderId="5" xfId="0" applyNumberFormat="1" applyFont="1" applyFill="1" applyBorder="1" applyAlignment="1">
      <alignment horizontal="center" vertical="center" wrapText="1"/>
    </xf>
    <xf numFmtId="6" fontId="7" fillId="5" borderId="3" xfId="0" applyNumberFormat="1" applyFont="1" applyFill="1" applyBorder="1" applyAlignment="1">
      <alignment horizontal="center" vertical="center" wrapText="1"/>
    </xf>
    <xf numFmtId="6" fontId="7" fillId="5" borderId="1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6" fontId="7" fillId="5" borderId="2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5" fontId="7" fillId="0" borderId="0" xfId="2" applyNumberFormat="1" applyFont="1" applyFill="1" applyBorder="1" applyAlignment="1">
      <alignment vertical="center"/>
    </xf>
    <xf numFmtId="5" fontId="7" fillId="0" borderId="0" xfId="0" applyNumberFormat="1" applyFont="1" applyFill="1" applyBorder="1" applyAlignment="1">
      <alignment vertical="center"/>
    </xf>
    <xf numFmtId="5" fontId="7" fillId="0" borderId="23" xfId="0" applyNumberFormat="1" applyFont="1" applyFill="1" applyBorder="1" applyAlignment="1">
      <alignment vertical="center"/>
    </xf>
    <xf numFmtId="5" fontId="7" fillId="0" borderId="6" xfId="0" applyNumberFormat="1" applyFont="1" applyFill="1" applyBorder="1" applyAlignment="1">
      <alignment vertical="center"/>
    </xf>
    <xf numFmtId="6" fontId="0" fillId="0" borderId="0" xfId="0" applyNumberFormat="1" applyFill="1" applyAlignment="1">
      <alignment vertical="center"/>
    </xf>
    <xf numFmtId="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5" fontId="0" fillId="0" borderId="0" xfId="0" applyNumberFormat="1" applyBorder="1" applyAlignment="1">
      <alignment horizontal="right" vertical="center"/>
    </xf>
    <xf numFmtId="5" fontId="0" fillId="0" borderId="8" xfId="0" applyNumberFormat="1" applyBorder="1" applyAlignment="1">
      <alignment horizontal="right" vertical="center"/>
    </xf>
    <xf numFmtId="0" fontId="7" fillId="0" borderId="21" xfId="0" applyFont="1" applyBorder="1" applyAlignment="1">
      <alignment horizontal="left" vertical="center"/>
    </xf>
    <xf numFmtId="5" fontId="7" fillId="0" borderId="25" xfId="0" applyNumberFormat="1" applyFont="1" applyBorder="1" applyAlignment="1">
      <alignment vertical="center"/>
    </xf>
    <xf numFmtId="5" fontId="7" fillId="0" borderId="0" xfId="2" applyNumberFormat="1" applyFont="1" applyBorder="1" applyAlignment="1">
      <alignment vertical="center"/>
    </xf>
    <xf numFmtId="5" fontId="0" fillId="0" borderId="0" xfId="0" applyNumberFormat="1" applyBorder="1" applyAlignment="1">
      <alignment vertical="center"/>
    </xf>
    <xf numFmtId="5" fontId="0" fillId="0" borderId="8" xfId="0" applyNumberFormat="1" applyBorder="1" applyAlignment="1">
      <alignment vertical="center"/>
    </xf>
    <xf numFmtId="5" fontId="7" fillId="0" borderId="25" xfId="0" applyNumberFormat="1" applyFont="1" applyBorder="1" applyAlignment="1">
      <alignment horizontal="right" vertical="center"/>
    </xf>
    <xf numFmtId="5" fontId="7" fillId="2" borderId="31" xfId="2" applyNumberFormat="1" applyFont="1" applyFill="1" applyBorder="1" applyAlignment="1">
      <alignment vertical="center"/>
    </xf>
    <xf numFmtId="0" fontId="7" fillId="5" borderId="1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5" borderId="24" xfId="0" applyFont="1" applyFill="1" applyBorder="1" applyAlignment="1">
      <alignment horizontal="right" vertical="center"/>
    </xf>
    <xf numFmtId="37" fontId="7" fillId="5" borderId="9" xfId="0" applyNumberFormat="1" applyFont="1" applyFill="1" applyBorder="1" applyAlignment="1">
      <alignment horizontal="center" vertical="center"/>
    </xf>
    <xf numFmtId="5" fontId="7" fillId="5" borderId="9" xfId="0" applyNumberFormat="1" applyFont="1" applyFill="1" applyBorder="1" applyAlignment="1">
      <alignment vertical="center"/>
    </xf>
    <xf numFmtId="0" fontId="7" fillId="5" borderId="29" xfId="0" applyFont="1" applyFill="1" applyBorder="1" applyAlignment="1">
      <alignment vertical="center"/>
    </xf>
    <xf numFmtId="0" fontId="0" fillId="5" borderId="30" xfId="0" applyFill="1" applyBorder="1" applyAlignment="1">
      <alignment vertical="center"/>
    </xf>
    <xf numFmtId="5" fontId="7" fillId="5" borderId="30" xfId="2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5" borderId="1" xfId="0" applyFont="1" applyFill="1" applyBorder="1" applyAlignment="1">
      <alignment horizontal="right" vertical="center"/>
    </xf>
    <xf numFmtId="9" fontId="7" fillId="5" borderId="9" xfId="3" applyFont="1" applyFill="1" applyBorder="1" applyAlignment="1">
      <alignment vertical="center"/>
    </xf>
    <xf numFmtId="6" fontId="7" fillId="5" borderId="33" xfId="0" applyNumberFormat="1" applyFont="1" applyFill="1" applyBorder="1" applyAlignment="1">
      <alignment horizontal="center" vertical="center" wrapText="1"/>
    </xf>
    <xf numFmtId="5" fontId="1" fillId="2" borderId="6" xfId="2" applyNumberFormat="1" applyFont="1" applyFill="1" applyBorder="1" applyAlignment="1">
      <alignment horizontal="right" vertical="center"/>
    </xf>
    <xf numFmtId="5" fontId="7" fillId="2" borderId="6" xfId="2" applyNumberFormat="1" applyFont="1" applyFill="1" applyBorder="1" applyAlignment="1">
      <alignment horizontal="right" vertical="center" wrapText="1"/>
    </xf>
    <xf numFmtId="5" fontId="2" fillId="2" borderId="6" xfId="2" applyNumberFormat="1" applyFont="1" applyFill="1" applyBorder="1" applyAlignment="1">
      <alignment horizontal="right" vertical="center"/>
    </xf>
    <xf numFmtId="5" fontId="2" fillId="2" borderId="6" xfId="2" applyNumberFormat="1" applyFont="1" applyFill="1" applyBorder="1" applyAlignment="1">
      <alignment vertical="center"/>
    </xf>
    <xf numFmtId="5" fontId="2" fillId="2" borderId="6" xfId="2" applyNumberFormat="1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5" fontId="0" fillId="0" borderId="0" xfId="2" applyNumberFormat="1" applyFont="1" applyFill="1" applyBorder="1" applyAlignment="1">
      <alignment vertical="center"/>
    </xf>
    <xf numFmtId="0" fontId="7" fillId="5" borderId="30" xfId="0" applyFont="1" applyFill="1" applyBorder="1" applyAlignment="1">
      <alignment vertical="center"/>
    </xf>
    <xf numFmtId="9" fontId="7" fillId="5" borderId="32" xfId="3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0" fontId="7" fillId="5" borderId="17" xfId="0" applyNumberFormat="1" applyFont="1" applyFill="1" applyBorder="1" applyAlignment="1">
      <alignment horizontal="center" vertical="center" wrapText="1"/>
    </xf>
    <xf numFmtId="5" fontId="7" fillId="4" borderId="30" xfId="2" applyNumberFormat="1" applyFont="1" applyFill="1" applyBorder="1" applyAlignment="1">
      <alignment vertical="center"/>
    </xf>
    <xf numFmtId="6" fontId="7" fillId="5" borderId="10" xfId="0" applyNumberFormat="1" applyFont="1" applyFill="1" applyBorder="1" applyAlignment="1">
      <alignment horizontal="center" vertical="center" wrapText="1"/>
    </xf>
    <xf numFmtId="5" fontId="3" fillId="0" borderId="8" xfId="0" applyNumberFormat="1" applyFont="1" applyBorder="1" applyAlignment="1">
      <alignment horizontal="right" vertical="center"/>
    </xf>
    <xf numFmtId="5" fontId="8" fillId="0" borderId="8" xfId="0" applyNumberFormat="1" applyFont="1" applyBorder="1" applyAlignment="1">
      <alignment horizontal="right" vertical="center" wrapText="1"/>
    </xf>
    <xf numFmtId="5" fontId="7" fillId="5" borderId="25" xfId="1" applyNumberFormat="1" applyFont="1" applyFill="1" applyBorder="1" applyAlignment="1">
      <alignment vertical="center"/>
    </xf>
    <xf numFmtId="5" fontId="9" fillId="0" borderId="8" xfId="1" applyNumberFormat="1" applyFont="1" applyBorder="1" applyAlignment="1">
      <alignment vertical="center"/>
    </xf>
    <xf numFmtId="5" fontId="8" fillId="0" borderId="8" xfId="0" applyNumberFormat="1" applyFont="1" applyBorder="1" applyAlignment="1">
      <alignment vertical="center"/>
    </xf>
    <xf numFmtId="5" fontId="7" fillId="5" borderId="25" xfId="0" applyNumberFormat="1" applyFont="1" applyFill="1" applyBorder="1" applyAlignment="1">
      <alignment vertical="center"/>
    </xf>
    <xf numFmtId="6" fontId="7" fillId="5" borderId="19" xfId="0" applyNumberFormat="1" applyFont="1" applyFill="1" applyBorder="1" applyAlignment="1">
      <alignment vertical="center"/>
    </xf>
    <xf numFmtId="6" fontId="7" fillId="5" borderId="22" xfId="0" applyNumberFormat="1" applyFont="1" applyFill="1" applyBorder="1" applyAlignment="1">
      <alignment horizontal="center" vertical="center"/>
    </xf>
    <xf numFmtId="6" fontId="0" fillId="5" borderId="25" xfId="0" applyNumberFormat="1" applyFill="1" applyBorder="1" applyAlignment="1">
      <alignment vertical="center"/>
    </xf>
    <xf numFmtId="6" fontId="7" fillId="5" borderId="21" xfId="0" applyNumberFormat="1" applyFont="1" applyFill="1" applyBorder="1" applyAlignment="1">
      <alignment vertical="center"/>
    </xf>
    <xf numFmtId="5" fontId="0" fillId="0" borderId="8" xfId="0" applyNumberFormat="1" applyBorder="1" applyAlignment="1">
      <alignment horizontal="right" vertical="center" wrapText="1"/>
    </xf>
    <xf numFmtId="5" fontId="0" fillId="0" borderId="8" xfId="1" applyNumberFormat="1" applyFont="1" applyBorder="1" applyAlignment="1">
      <alignment vertical="center"/>
    </xf>
    <xf numFmtId="5" fontId="9" fillId="3" borderId="8" xfId="1" applyNumberFormat="1" applyFont="1" applyFill="1" applyBorder="1" applyAlignment="1">
      <alignment vertical="center"/>
    </xf>
    <xf numFmtId="5" fontId="0" fillId="0" borderId="0" xfId="0" applyNumberFormat="1" applyBorder="1" applyAlignment="1">
      <alignment horizontal="right" vertical="center" wrapText="1"/>
    </xf>
    <xf numFmtId="5" fontId="8" fillId="0" borderId="0" xfId="0" applyNumberFormat="1" applyFont="1" applyBorder="1" applyAlignment="1">
      <alignment vertical="center"/>
    </xf>
    <xf numFmtId="5" fontId="3" fillId="0" borderId="0" xfId="0" applyNumberFormat="1" applyFont="1" applyBorder="1" applyAlignment="1">
      <alignment horizontal="right" vertical="center" wrapText="1"/>
    </xf>
    <xf numFmtId="5" fontId="3" fillId="0" borderId="8" xfId="0" applyNumberFormat="1" applyFont="1" applyBorder="1" applyAlignment="1">
      <alignment horizontal="right" vertical="center" wrapText="1"/>
    </xf>
    <xf numFmtId="5" fontId="3" fillId="0" borderId="27" xfId="0" applyNumberFormat="1" applyFont="1" applyBorder="1" applyAlignment="1">
      <alignment horizontal="right" vertical="center" wrapText="1"/>
    </xf>
    <xf numFmtId="5" fontId="7" fillId="0" borderId="8" xfId="0" applyNumberFormat="1" applyFont="1" applyBorder="1" applyAlignment="1">
      <alignment vertical="center"/>
    </xf>
    <xf numFmtId="5" fontId="9" fillId="0" borderId="8" xfId="0" applyNumberFormat="1" applyFont="1" applyBorder="1" applyAlignment="1">
      <alignment vertical="center"/>
    </xf>
    <xf numFmtId="5" fontId="9" fillId="0" borderId="0" xfId="0" applyNumberFormat="1" applyFont="1" applyBorder="1" applyAlignment="1">
      <alignment vertical="center"/>
    </xf>
    <xf numFmtId="5" fontId="7" fillId="5" borderId="36" xfId="0" applyNumberFormat="1" applyFont="1" applyFill="1" applyBorder="1" applyAlignment="1">
      <alignment vertical="center"/>
    </xf>
    <xf numFmtId="5" fontId="7" fillId="5" borderId="37" xfId="0" applyNumberFormat="1" applyFont="1" applyFill="1" applyBorder="1" applyAlignment="1">
      <alignment vertical="center"/>
    </xf>
    <xf numFmtId="5" fontId="7" fillId="5" borderId="33" xfId="0" applyNumberFormat="1" applyFont="1" applyFill="1" applyBorder="1" applyAlignment="1">
      <alignment vertical="center"/>
    </xf>
    <xf numFmtId="37" fontId="0" fillId="0" borderId="14" xfId="0" applyNumberFormat="1" applyBorder="1" applyAlignment="1">
      <alignment vertical="center"/>
    </xf>
    <xf numFmtId="37" fontId="0" fillId="0" borderId="13" xfId="0" applyNumberFormat="1" applyBorder="1" applyAlignment="1">
      <alignment vertical="center"/>
    </xf>
    <xf numFmtId="37" fontId="0" fillId="0" borderId="35" xfId="0" applyNumberFormat="1" applyBorder="1" applyAlignment="1">
      <alignment vertical="center"/>
    </xf>
    <xf numFmtId="9" fontId="7" fillId="0" borderId="0" xfId="3" applyFont="1" applyFill="1" applyBorder="1" applyAlignment="1">
      <alignment horizontal="center" vertical="center"/>
    </xf>
    <xf numFmtId="0" fontId="0" fillId="5" borderId="37" xfId="0" applyFill="1" applyBorder="1" applyAlignment="1">
      <alignment vertical="center"/>
    </xf>
    <xf numFmtId="0" fontId="0" fillId="5" borderId="38" xfId="0" applyFill="1" applyBorder="1" applyAlignment="1">
      <alignment vertical="center"/>
    </xf>
    <xf numFmtId="5" fontId="7" fillId="5" borderId="37" xfId="2" applyNumberFormat="1" applyFont="1" applyFill="1" applyBorder="1" applyAlignment="1">
      <alignment vertical="center"/>
    </xf>
    <xf numFmtId="5" fontId="0" fillId="5" borderId="37" xfId="2" applyNumberFormat="1" applyFont="1" applyFill="1" applyBorder="1" applyAlignment="1">
      <alignment vertical="center"/>
    </xf>
    <xf numFmtId="9" fontId="0" fillId="5" borderId="33" xfId="3" applyFont="1" applyFill="1" applyBorder="1" applyAlignment="1">
      <alignment horizontal="center" vertical="center"/>
    </xf>
    <xf numFmtId="5" fontId="7" fillId="5" borderId="40" xfId="0" applyNumberFormat="1" applyFont="1" applyFill="1" applyBorder="1" applyAlignment="1">
      <alignment vertical="center"/>
    </xf>
    <xf numFmtId="5" fontId="7" fillId="5" borderId="41" xfId="0" applyNumberFormat="1" applyFont="1" applyFill="1" applyBorder="1" applyAlignment="1">
      <alignment vertical="center"/>
    </xf>
    <xf numFmtId="5" fontId="7" fillId="5" borderId="34" xfId="0" applyNumberFormat="1" applyFont="1" applyFill="1" applyBorder="1" applyAlignment="1">
      <alignment vertical="center"/>
    </xf>
    <xf numFmtId="5" fontId="7" fillId="4" borderId="39" xfId="2" applyNumberFormat="1" applyFont="1" applyFill="1" applyBorder="1" applyAlignment="1">
      <alignment vertical="center"/>
    </xf>
    <xf numFmtId="5" fontId="0" fillId="2" borderId="39" xfId="2" applyNumberFormat="1" applyFont="1" applyFill="1" applyBorder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E2CF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FCB6B-9348-49BF-BA32-E9DFD60274D8}">
  <sheetPr>
    <tabColor rgb="FF00B0F0"/>
    <pageSetUpPr fitToPage="1"/>
  </sheetPr>
  <dimension ref="A1:BC222"/>
  <sheetViews>
    <sheetView tabSelected="1" zoomScaleNormal="100" workbookViewId="0">
      <pane xSplit="3" ySplit="5" topLeftCell="D151" activePane="bottomRight" state="frozen"/>
      <selection pane="topRight" activeCell="D1" sqref="D1"/>
      <selection pane="bottomLeft" activeCell="A5" sqref="A5"/>
      <selection pane="bottomRight" sqref="A1:J1"/>
    </sheetView>
  </sheetViews>
  <sheetFormatPr defaultColWidth="9.109375" defaultRowHeight="15.6" x14ac:dyDescent="0.3"/>
  <cols>
    <col min="1" max="1" width="2.109375" style="1" customWidth="1"/>
    <col min="2" max="2" width="2.6640625" style="12" customWidth="1"/>
    <col min="3" max="3" width="34.88671875" style="1" customWidth="1"/>
    <col min="4" max="4" width="11.6640625" style="2" customWidth="1"/>
    <col min="5" max="5" width="12.88671875" style="2" customWidth="1"/>
    <col min="6" max="6" width="13.6640625" style="2" customWidth="1"/>
    <col min="7" max="7" width="11.44140625" style="2" customWidth="1"/>
    <col min="8" max="8" width="11.33203125" style="2" customWidth="1"/>
    <col min="9" max="9" width="9.44140625" style="18" customWidth="1"/>
    <col min="10" max="10" width="12" style="2" customWidth="1"/>
    <col min="11" max="11" width="11.6640625" style="2" customWidth="1"/>
    <col min="12" max="12" width="12" style="2" customWidth="1"/>
    <col min="13" max="51" width="14.6640625" style="2" customWidth="1"/>
    <col min="52" max="52" width="9.109375" style="2" customWidth="1"/>
    <col min="53" max="54" width="9.109375" style="3" customWidth="1"/>
    <col min="55" max="16384" width="9.109375" style="1"/>
  </cols>
  <sheetData>
    <row r="1" spans="1:55" s="28" customFormat="1" ht="16.8" customHeight="1" x14ac:dyDescent="0.3">
      <c r="A1" s="224" t="s">
        <v>262</v>
      </c>
      <c r="B1" s="224"/>
      <c r="C1" s="224"/>
      <c r="D1" s="224"/>
      <c r="E1" s="224"/>
      <c r="F1" s="224"/>
      <c r="G1" s="224"/>
      <c r="H1" s="224"/>
      <c r="I1" s="224"/>
      <c r="J1" s="224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1"/>
      <c r="BB1" s="31"/>
    </row>
    <row r="2" spans="1:55" s="28" customFormat="1" ht="12" customHeight="1" x14ac:dyDescent="0.3">
      <c r="A2" s="219" t="s">
        <v>261</v>
      </c>
      <c r="B2" s="219"/>
      <c r="C2" s="219"/>
      <c r="D2" s="219"/>
      <c r="E2" s="219"/>
      <c r="F2" s="219"/>
      <c r="G2" s="213"/>
      <c r="H2" s="213"/>
      <c r="I2" s="213"/>
      <c r="J2" s="213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1"/>
      <c r="BB2" s="31"/>
    </row>
    <row r="3" spans="1:55" s="28" customFormat="1" ht="12" customHeight="1" x14ac:dyDescent="0.3">
      <c r="A3" s="219" t="s">
        <v>263</v>
      </c>
      <c r="B3" s="219"/>
      <c r="C3" s="219"/>
      <c r="D3" s="219"/>
      <c r="E3" s="29"/>
      <c r="F3" s="29"/>
      <c r="G3" s="30"/>
      <c r="H3" s="30"/>
      <c r="I3" s="61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1"/>
      <c r="BB3" s="31"/>
    </row>
    <row r="4" spans="1:55" s="28" customFormat="1" ht="15" customHeight="1" x14ac:dyDescent="0.3">
      <c r="B4" s="32"/>
      <c r="D4" s="214" t="s">
        <v>226</v>
      </c>
      <c r="E4" s="215"/>
      <c r="F4" s="216"/>
      <c r="G4" s="214" t="s">
        <v>227</v>
      </c>
      <c r="H4" s="215"/>
      <c r="I4" s="217"/>
      <c r="J4" s="217" t="s">
        <v>228</v>
      </c>
      <c r="K4" s="225"/>
      <c r="L4" s="225"/>
      <c r="M4" s="280" t="s">
        <v>229</v>
      </c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282"/>
      <c r="AG4" s="281" t="s">
        <v>230</v>
      </c>
      <c r="AH4" s="281"/>
      <c r="AI4" s="283" t="s">
        <v>231</v>
      </c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60"/>
      <c r="AZ4" s="30"/>
      <c r="BA4" s="31"/>
      <c r="BB4" s="31"/>
    </row>
    <row r="5" spans="1:55" s="27" customFormat="1" ht="42.6" customHeight="1" thickBot="1" x14ac:dyDescent="0.35">
      <c r="A5" s="221" t="s">
        <v>0</v>
      </c>
      <c r="B5" s="222"/>
      <c r="C5" s="223"/>
      <c r="D5" s="46" t="s">
        <v>133</v>
      </c>
      <c r="E5" s="45" t="s">
        <v>114</v>
      </c>
      <c r="F5" s="54" t="s">
        <v>132</v>
      </c>
      <c r="G5" s="48" t="s">
        <v>158</v>
      </c>
      <c r="H5" s="45" t="s">
        <v>115</v>
      </c>
      <c r="I5" s="51" t="s">
        <v>128</v>
      </c>
      <c r="J5" s="53" t="s">
        <v>232</v>
      </c>
      <c r="K5" s="52" t="s">
        <v>233</v>
      </c>
      <c r="L5" s="273" t="s">
        <v>234</v>
      </c>
      <c r="M5" s="52" t="s">
        <v>1</v>
      </c>
      <c r="N5" s="45" t="s">
        <v>2</v>
      </c>
      <c r="O5" s="45" t="s">
        <v>3</v>
      </c>
      <c r="P5" s="45" t="s">
        <v>4</v>
      </c>
      <c r="Q5" s="45" t="s">
        <v>5</v>
      </c>
      <c r="R5" s="45" t="s">
        <v>6</v>
      </c>
      <c r="S5" s="45" t="s">
        <v>7</v>
      </c>
      <c r="T5" s="45" t="s">
        <v>8</v>
      </c>
      <c r="U5" s="45" t="s">
        <v>9</v>
      </c>
      <c r="V5" s="45" t="s">
        <v>218</v>
      </c>
      <c r="W5" s="45" t="s">
        <v>11</v>
      </c>
      <c r="X5" s="45" t="s">
        <v>12</v>
      </c>
      <c r="Y5" s="45" t="s">
        <v>13</v>
      </c>
      <c r="Z5" s="45" t="s">
        <v>14</v>
      </c>
      <c r="AA5" s="45" t="s">
        <v>15</v>
      </c>
      <c r="AB5" s="45" t="s">
        <v>16</v>
      </c>
      <c r="AC5" s="45" t="s">
        <v>17</v>
      </c>
      <c r="AD5" s="45" t="s">
        <v>219</v>
      </c>
      <c r="AE5" s="45" t="s">
        <v>19</v>
      </c>
      <c r="AF5" s="273" t="s">
        <v>20</v>
      </c>
      <c r="AG5" s="45" t="s">
        <v>242</v>
      </c>
      <c r="AH5" s="45" t="s">
        <v>21</v>
      </c>
      <c r="AI5" s="50" t="s">
        <v>22</v>
      </c>
      <c r="AJ5" s="45" t="s">
        <v>23</v>
      </c>
      <c r="AK5" s="45" t="s">
        <v>24</v>
      </c>
      <c r="AL5" s="45" t="s">
        <v>25</v>
      </c>
      <c r="AM5" s="45" t="s">
        <v>170</v>
      </c>
      <c r="AN5" s="45" t="s">
        <v>26</v>
      </c>
      <c r="AO5" s="45" t="s">
        <v>5</v>
      </c>
      <c r="AP5" s="45" t="s">
        <v>27</v>
      </c>
      <c r="AQ5" s="58" t="s">
        <v>162</v>
      </c>
      <c r="AR5" s="45" t="s">
        <v>28</v>
      </c>
      <c r="AS5" s="45" t="s">
        <v>29</v>
      </c>
      <c r="AT5" s="45" t="s">
        <v>136</v>
      </c>
      <c r="AU5" s="45" t="s">
        <v>10</v>
      </c>
      <c r="AV5" s="45" t="s">
        <v>116</v>
      </c>
      <c r="AW5" s="45" t="s">
        <v>172</v>
      </c>
      <c r="AX5" s="45" t="s">
        <v>30</v>
      </c>
      <c r="AY5" s="45" t="s">
        <v>117</v>
      </c>
      <c r="AZ5" s="25"/>
      <c r="BA5" s="26"/>
      <c r="BB5" s="26"/>
    </row>
    <row r="6" spans="1:55" s="8" customFormat="1" ht="10.199999999999999" customHeight="1" x14ac:dyDescent="0.3">
      <c r="A6" s="133" t="s">
        <v>31</v>
      </c>
      <c r="B6" s="12"/>
      <c r="C6" s="134"/>
      <c r="D6" s="47"/>
      <c r="E6" s="4"/>
      <c r="F6" s="4"/>
      <c r="G6" s="49"/>
      <c r="H6" s="4"/>
      <c r="I6" s="62"/>
      <c r="J6" s="99"/>
      <c r="K6" s="100"/>
      <c r="L6" s="274"/>
      <c r="M6" s="289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90"/>
      <c r="AG6" s="289"/>
      <c r="AH6" s="29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5"/>
      <c r="BA6" s="6"/>
      <c r="BB6" s="6"/>
      <c r="BC6" s="7"/>
    </row>
    <row r="7" spans="1:55" s="24" customFormat="1" ht="29.25" customHeight="1" x14ac:dyDescent="0.3">
      <c r="A7" s="218" t="s">
        <v>32</v>
      </c>
      <c r="B7" s="219"/>
      <c r="C7" s="220"/>
      <c r="D7" s="77"/>
      <c r="E7" s="78"/>
      <c r="F7" s="78"/>
      <c r="G7" s="79"/>
      <c r="H7" s="78"/>
      <c r="I7" s="68"/>
      <c r="J7" s="102"/>
      <c r="K7" s="103"/>
      <c r="L7" s="275"/>
      <c r="M7" s="287"/>
      <c r="N7" s="104"/>
      <c r="O7" s="104"/>
      <c r="P7" s="104"/>
      <c r="Q7" s="104"/>
      <c r="R7" s="104" t="s">
        <v>31</v>
      </c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284"/>
      <c r="AG7" s="287"/>
      <c r="AH7" s="28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33"/>
      <c r="BA7" s="34"/>
      <c r="BB7" s="34"/>
      <c r="BC7" s="35"/>
    </row>
    <row r="8" spans="1:55" s="24" customFormat="1" ht="17.399999999999999" customHeight="1" x14ac:dyDescent="0.3">
      <c r="A8" s="135" t="s">
        <v>33</v>
      </c>
      <c r="C8" s="195"/>
      <c r="D8" s="80"/>
      <c r="E8" s="78"/>
      <c r="F8" s="78"/>
      <c r="G8" s="79"/>
      <c r="H8" s="78"/>
      <c r="I8" s="71"/>
      <c r="J8" s="102"/>
      <c r="K8" s="103"/>
      <c r="L8" s="275"/>
      <c r="M8" s="287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284"/>
      <c r="AG8" s="287"/>
      <c r="AH8" s="28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33"/>
      <c r="BA8" s="34"/>
      <c r="BB8" s="34"/>
      <c r="BC8" s="35"/>
    </row>
    <row r="9" spans="1:55" s="28" customFormat="1" ht="17.25" customHeight="1" x14ac:dyDescent="0.3">
      <c r="A9" s="135"/>
      <c r="B9" s="28" t="s">
        <v>34</v>
      </c>
      <c r="C9" s="136"/>
      <c r="D9" s="81">
        <f>+J9+K9+L9</f>
        <v>1924731.5</v>
      </c>
      <c r="E9" s="82">
        <v>2063320</v>
      </c>
      <c r="F9" s="82">
        <f>D9-E9</f>
        <v>-138588.5</v>
      </c>
      <c r="G9" s="83">
        <v>2100000</v>
      </c>
      <c r="H9" s="82">
        <f>+D9-G9</f>
        <v>-175268.5</v>
      </c>
      <c r="I9" s="72">
        <f>+D9/G9</f>
        <v>0.91653880952380951</v>
      </c>
      <c r="J9" s="105">
        <f>SUM(M9:AF9)</f>
        <v>1924731.5</v>
      </c>
      <c r="K9" s="106">
        <f>SUM(AG9:AH9)</f>
        <v>0</v>
      </c>
      <c r="L9" s="239">
        <f>SUM(AI9:AY9)</f>
        <v>0</v>
      </c>
      <c r="M9" s="243">
        <v>1924731.5</v>
      </c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244"/>
      <c r="AG9" s="243" t="s">
        <v>31</v>
      </c>
      <c r="AH9" s="244" t="s">
        <v>31</v>
      </c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30"/>
      <c r="BA9" s="31"/>
      <c r="BB9" s="31"/>
    </row>
    <row r="10" spans="1:55" s="28" customFormat="1" ht="17.25" customHeight="1" x14ac:dyDescent="0.3">
      <c r="A10" s="135"/>
      <c r="B10" s="28" t="s">
        <v>35</v>
      </c>
      <c r="C10" s="136"/>
      <c r="D10" s="81"/>
      <c r="E10" s="82"/>
      <c r="F10" s="82"/>
      <c r="G10" s="83" t="s">
        <v>31</v>
      </c>
      <c r="H10" s="82" t="s">
        <v>31</v>
      </c>
      <c r="I10" s="72"/>
      <c r="J10" s="105" t="s">
        <v>31</v>
      </c>
      <c r="K10" s="106" t="s">
        <v>31</v>
      </c>
      <c r="L10" s="239" t="s">
        <v>31</v>
      </c>
      <c r="M10" s="243"/>
      <c r="N10" s="109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244"/>
      <c r="AG10" s="243" t="s">
        <v>31</v>
      </c>
      <c r="AH10" s="244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30"/>
      <c r="BA10" s="31"/>
      <c r="BB10" s="31"/>
    </row>
    <row r="11" spans="1:55" s="28" customFormat="1" ht="17.25" customHeight="1" x14ac:dyDescent="0.3">
      <c r="A11" s="135"/>
      <c r="C11" s="204" t="s">
        <v>36</v>
      </c>
      <c r="D11" s="81">
        <f t="shared" ref="D11:D20" si="0">+J11+K11+L11</f>
        <v>125000</v>
      </c>
      <c r="E11" s="82">
        <v>125000</v>
      </c>
      <c r="F11" s="82">
        <f t="shared" ref="F11:F75" si="1">D11-E11</f>
        <v>0</v>
      </c>
      <c r="G11" s="83">
        <v>125000</v>
      </c>
      <c r="H11" s="82">
        <f t="shared" ref="H11:H20" si="2">+D11-G11</f>
        <v>0</v>
      </c>
      <c r="I11" s="72">
        <f>+D11/G11</f>
        <v>1</v>
      </c>
      <c r="J11" s="105">
        <f t="shared" ref="J11:J20" si="3">SUM(M11:AF11)</f>
        <v>0</v>
      </c>
      <c r="K11" s="106">
        <f t="shared" ref="K11:K20" si="4">SUM(AG11:AH11)</f>
        <v>0</v>
      </c>
      <c r="L11" s="239">
        <f t="shared" ref="L11:L20" si="5">SUM(AI11:AY11)</f>
        <v>125000</v>
      </c>
      <c r="M11" s="243"/>
      <c r="N11" s="109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244"/>
      <c r="AG11" s="243" t="s">
        <v>31</v>
      </c>
      <c r="AH11" s="244"/>
      <c r="AI11" s="108">
        <v>125000</v>
      </c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30"/>
      <c r="BA11" s="31"/>
      <c r="BB11" s="31"/>
    </row>
    <row r="12" spans="1:55" s="30" customFormat="1" ht="17.25" customHeight="1" x14ac:dyDescent="0.3">
      <c r="A12" s="135"/>
      <c r="B12" s="28"/>
      <c r="C12" s="204" t="s">
        <v>38</v>
      </c>
      <c r="D12" s="81">
        <f t="shared" si="0"/>
        <v>117000</v>
      </c>
      <c r="E12" s="82">
        <v>82000</v>
      </c>
      <c r="F12" s="82">
        <f t="shared" si="1"/>
        <v>35000</v>
      </c>
      <c r="G12" s="83">
        <f>58500+57500</f>
        <v>116000</v>
      </c>
      <c r="H12" s="82">
        <f t="shared" si="2"/>
        <v>1000</v>
      </c>
      <c r="I12" s="72">
        <f>+D12/G12</f>
        <v>1.0086206896551724</v>
      </c>
      <c r="J12" s="105">
        <f t="shared" si="3"/>
        <v>117000</v>
      </c>
      <c r="K12" s="106">
        <f t="shared" si="4"/>
        <v>0</v>
      </c>
      <c r="L12" s="239">
        <f t="shared" si="5"/>
        <v>0</v>
      </c>
      <c r="M12" s="243"/>
      <c r="N12" s="109"/>
      <c r="O12" s="108">
        <f>41000+17500</f>
        <v>58500</v>
      </c>
      <c r="P12" s="108">
        <f>17500+41000</f>
        <v>58500</v>
      </c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244"/>
      <c r="AG12" s="243"/>
      <c r="AH12" s="244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BA12" s="31"/>
      <c r="BB12" s="31"/>
      <c r="BC12" s="28"/>
    </row>
    <row r="13" spans="1:55" s="30" customFormat="1" ht="17.25" customHeight="1" x14ac:dyDescent="0.3">
      <c r="A13" s="135"/>
      <c r="B13" s="28"/>
      <c r="C13" s="204" t="s">
        <v>130</v>
      </c>
      <c r="D13" s="81">
        <f t="shared" si="0"/>
        <v>75000</v>
      </c>
      <c r="E13" s="82">
        <v>0</v>
      </c>
      <c r="F13" s="82">
        <f t="shared" si="1"/>
        <v>75000</v>
      </c>
      <c r="G13" s="83">
        <v>0</v>
      </c>
      <c r="H13" s="82">
        <f t="shared" si="2"/>
        <v>75000</v>
      </c>
      <c r="I13" s="72" t="s">
        <v>129</v>
      </c>
      <c r="J13" s="105">
        <f t="shared" si="3"/>
        <v>0</v>
      </c>
      <c r="K13" s="106">
        <f t="shared" si="4"/>
        <v>0</v>
      </c>
      <c r="L13" s="239">
        <f t="shared" si="5"/>
        <v>75000</v>
      </c>
      <c r="M13" s="243"/>
      <c r="N13" s="109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244"/>
      <c r="AG13" s="243"/>
      <c r="AH13" s="244"/>
      <c r="AI13" s="108"/>
      <c r="AJ13" s="108"/>
      <c r="AK13" s="108"/>
      <c r="AL13" s="108"/>
      <c r="AM13" s="108"/>
      <c r="AN13" s="108"/>
      <c r="AO13" s="108"/>
      <c r="AP13" s="108"/>
      <c r="AQ13" s="108">
        <v>75000</v>
      </c>
      <c r="AR13" s="108"/>
      <c r="AS13" s="108"/>
      <c r="AT13" s="108"/>
      <c r="AU13" s="108"/>
      <c r="AV13" s="108"/>
      <c r="AW13" s="108"/>
      <c r="AX13" s="108"/>
      <c r="AY13" s="108"/>
      <c r="BA13" s="31"/>
      <c r="BB13" s="31"/>
      <c r="BC13" s="28"/>
    </row>
    <row r="14" spans="1:55" s="30" customFormat="1" ht="17.25" customHeight="1" x14ac:dyDescent="0.3">
      <c r="A14" s="135"/>
      <c r="B14" s="28"/>
      <c r="C14" s="204" t="s">
        <v>154</v>
      </c>
      <c r="D14" s="81">
        <f t="shared" si="0"/>
        <v>35113</v>
      </c>
      <c r="E14" s="82">
        <v>35231</v>
      </c>
      <c r="F14" s="82">
        <f t="shared" si="1"/>
        <v>-118</v>
      </c>
      <c r="G14" s="83">
        <v>0</v>
      </c>
      <c r="H14" s="82">
        <f t="shared" si="2"/>
        <v>35113</v>
      </c>
      <c r="I14" s="72" t="s">
        <v>129</v>
      </c>
      <c r="J14" s="105">
        <f t="shared" si="3"/>
        <v>0</v>
      </c>
      <c r="K14" s="106">
        <f t="shared" si="4"/>
        <v>0</v>
      </c>
      <c r="L14" s="239">
        <f t="shared" si="5"/>
        <v>35113</v>
      </c>
      <c r="M14" s="243"/>
      <c r="N14" s="109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244"/>
      <c r="AG14" s="243"/>
      <c r="AH14" s="244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>
        <v>35113</v>
      </c>
      <c r="AT14" s="108"/>
      <c r="AU14" s="108"/>
      <c r="AV14" s="108"/>
      <c r="AW14" s="108"/>
      <c r="AX14" s="108"/>
      <c r="AY14" s="108"/>
      <c r="BA14" s="31"/>
      <c r="BB14" s="31"/>
      <c r="BC14" s="28"/>
    </row>
    <row r="15" spans="1:55" s="30" customFormat="1" ht="17.25" customHeight="1" x14ac:dyDescent="0.3">
      <c r="A15" s="135"/>
      <c r="B15" s="28"/>
      <c r="C15" s="204" t="s">
        <v>37</v>
      </c>
      <c r="D15" s="81">
        <f t="shared" si="0"/>
        <v>34812</v>
      </c>
      <c r="E15" s="82">
        <v>34812</v>
      </c>
      <c r="F15" s="82">
        <f t="shared" si="1"/>
        <v>0</v>
      </c>
      <c r="G15" s="83">
        <v>40000</v>
      </c>
      <c r="H15" s="82">
        <f t="shared" si="2"/>
        <v>-5188</v>
      </c>
      <c r="I15" s="72">
        <f t="shared" ref="I15:I20" si="6">+D15/G15</f>
        <v>0.87029999999999996</v>
      </c>
      <c r="J15" s="105">
        <f t="shared" si="3"/>
        <v>34812</v>
      </c>
      <c r="K15" s="106">
        <f t="shared" si="4"/>
        <v>0</v>
      </c>
      <c r="L15" s="239">
        <f t="shared" si="5"/>
        <v>0</v>
      </c>
      <c r="M15" s="243"/>
      <c r="N15" s="109"/>
      <c r="O15" s="108"/>
      <c r="P15" s="108"/>
      <c r="Q15" s="108">
        <v>34812</v>
      </c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244"/>
      <c r="AG15" s="243"/>
      <c r="AH15" s="244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BA15" s="31"/>
      <c r="BB15" s="31"/>
      <c r="BC15" s="28"/>
    </row>
    <row r="16" spans="1:55" s="30" customFormat="1" ht="17.25" customHeight="1" x14ac:dyDescent="0.3">
      <c r="A16" s="135"/>
      <c r="B16" s="28"/>
      <c r="C16" s="204" t="s">
        <v>249</v>
      </c>
      <c r="D16" s="81">
        <f t="shared" si="0"/>
        <v>32000</v>
      </c>
      <c r="E16" s="82">
        <v>30000</v>
      </c>
      <c r="F16" s="82">
        <f t="shared" si="1"/>
        <v>2000</v>
      </c>
      <c r="G16" s="83">
        <v>30000</v>
      </c>
      <c r="H16" s="82">
        <f t="shared" si="2"/>
        <v>2000</v>
      </c>
      <c r="I16" s="72">
        <f t="shared" si="6"/>
        <v>1.0666666666666667</v>
      </c>
      <c r="J16" s="105">
        <f t="shared" si="3"/>
        <v>32000</v>
      </c>
      <c r="K16" s="106">
        <f t="shared" si="4"/>
        <v>0</v>
      </c>
      <c r="L16" s="239">
        <f t="shared" si="5"/>
        <v>0</v>
      </c>
      <c r="M16" s="243"/>
      <c r="N16" s="109" t="s">
        <v>31</v>
      </c>
      <c r="O16" s="108"/>
      <c r="P16" s="108"/>
      <c r="Q16" s="108"/>
      <c r="R16" s="108"/>
      <c r="S16" s="108"/>
      <c r="T16" s="108" t="s">
        <v>31</v>
      </c>
      <c r="U16" s="108">
        <v>32000</v>
      </c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244"/>
      <c r="AG16" s="243"/>
      <c r="AH16" s="244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BA16" s="31"/>
      <c r="BB16" s="31"/>
      <c r="BC16" s="28"/>
    </row>
    <row r="17" spans="1:55" s="30" customFormat="1" ht="17.25" customHeight="1" x14ac:dyDescent="0.3">
      <c r="A17" s="135"/>
      <c r="B17" s="28"/>
      <c r="C17" s="204" t="s">
        <v>41</v>
      </c>
      <c r="D17" s="81">
        <f t="shared" si="0"/>
        <v>28000</v>
      </c>
      <c r="E17" s="82">
        <v>0</v>
      </c>
      <c r="F17" s="82">
        <f t="shared" si="1"/>
        <v>28000</v>
      </c>
      <c r="G17" s="83">
        <v>27000</v>
      </c>
      <c r="H17" s="82">
        <f t="shared" si="2"/>
        <v>1000</v>
      </c>
      <c r="I17" s="72">
        <f t="shared" si="6"/>
        <v>1.037037037037037</v>
      </c>
      <c r="J17" s="105">
        <f t="shared" si="3"/>
        <v>28000</v>
      </c>
      <c r="K17" s="106">
        <f t="shared" si="4"/>
        <v>0</v>
      </c>
      <c r="L17" s="239">
        <f t="shared" si="5"/>
        <v>0</v>
      </c>
      <c r="M17" s="243"/>
      <c r="N17" s="109"/>
      <c r="O17" s="108"/>
      <c r="P17" s="108"/>
      <c r="Q17" s="108"/>
      <c r="R17" s="108"/>
      <c r="S17" s="108"/>
      <c r="T17" s="108" t="s">
        <v>31</v>
      </c>
      <c r="U17" s="108">
        <v>28000</v>
      </c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244"/>
      <c r="AG17" s="243"/>
      <c r="AH17" s="244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BA17" s="31"/>
      <c r="BB17" s="31"/>
      <c r="BC17" s="28"/>
    </row>
    <row r="18" spans="1:55" s="30" customFormat="1" ht="17.25" customHeight="1" x14ac:dyDescent="0.3">
      <c r="A18" s="135"/>
      <c r="B18" s="28"/>
      <c r="C18" s="204" t="s">
        <v>164</v>
      </c>
      <c r="D18" s="81">
        <f t="shared" si="0"/>
        <v>24000</v>
      </c>
      <c r="E18" s="82">
        <v>15000</v>
      </c>
      <c r="F18" s="82">
        <f>D18-E18</f>
        <v>9000</v>
      </c>
      <c r="G18" s="83">
        <v>16000</v>
      </c>
      <c r="H18" s="82">
        <f t="shared" si="2"/>
        <v>8000</v>
      </c>
      <c r="I18" s="72">
        <f t="shared" si="6"/>
        <v>1.5</v>
      </c>
      <c r="J18" s="105">
        <f t="shared" si="3"/>
        <v>24000</v>
      </c>
      <c r="K18" s="106">
        <f t="shared" si="4"/>
        <v>0</v>
      </c>
      <c r="L18" s="239">
        <f t="shared" si="5"/>
        <v>0</v>
      </c>
      <c r="M18" s="243"/>
      <c r="N18" s="109"/>
      <c r="O18" s="108"/>
      <c r="P18" s="108"/>
      <c r="Q18" s="108"/>
      <c r="R18" s="108"/>
      <c r="S18" s="108"/>
      <c r="T18" s="108">
        <f>8000+16000</f>
        <v>24000</v>
      </c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244"/>
      <c r="AG18" s="243"/>
      <c r="AH18" s="244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BA18" s="31"/>
      <c r="BB18" s="31"/>
      <c r="BC18" s="28"/>
    </row>
    <row r="19" spans="1:55" s="30" customFormat="1" ht="17.25" customHeight="1" x14ac:dyDescent="0.3">
      <c r="A19" s="135"/>
      <c r="B19" s="28"/>
      <c r="C19" s="204" t="s">
        <v>39</v>
      </c>
      <c r="D19" s="81">
        <f t="shared" si="0"/>
        <v>10000</v>
      </c>
      <c r="E19" s="82">
        <v>10000</v>
      </c>
      <c r="F19" s="82">
        <f>D19-E19</f>
        <v>0</v>
      </c>
      <c r="G19" s="83">
        <v>10000</v>
      </c>
      <c r="H19" s="82">
        <f t="shared" si="2"/>
        <v>0</v>
      </c>
      <c r="I19" s="72">
        <f t="shared" si="6"/>
        <v>1</v>
      </c>
      <c r="J19" s="105">
        <f t="shared" si="3"/>
        <v>10000</v>
      </c>
      <c r="K19" s="106">
        <f t="shared" si="4"/>
        <v>0</v>
      </c>
      <c r="L19" s="239">
        <f t="shared" si="5"/>
        <v>0</v>
      </c>
      <c r="M19" s="243"/>
      <c r="N19" s="109"/>
      <c r="O19" s="108"/>
      <c r="P19" s="108"/>
      <c r="Q19" s="108"/>
      <c r="R19" s="108"/>
      <c r="S19" s="108"/>
      <c r="T19" s="108">
        <v>10000</v>
      </c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244"/>
      <c r="AG19" s="243"/>
      <c r="AH19" s="244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BA19" s="31"/>
      <c r="BB19" s="31"/>
      <c r="BC19" s="28"/>
    </row>
    <row r="20" spans="1:55" s="30" customFormat="1" ht="17.25" customHeight="1" x14ac:dyDescent="0.3">
      <c r="A20" s="135"/>
      <c r="B20" s="28"/>
      <c r="C20" s="204" t="s">
        <v>40</v>
      </c>
      <c r="D20" s="81">
        <f t="shared" si="0"/>
        <v>0</v>
      </c>
      <c r="E20" s="82">
        <v>1475</v>
      </c>
      <c r="F20" s="82">
        <f t="shared" si="1"/>
        <v>-1475</v>
      </c>
      <c r="G20" s="83">
        <v>1500</v>
      </c>
      <c r="H20" s="82">
        <f t="shared" si="2"/>
        <v>-1500</v>
      </c>
      <c r="I20" s="72">
        <f t="shared" si="6"/>
        <v>0</v>
      </c>
      <c r="J20" s="105">
        <f t="shared" si="3"/>
        <v>0</v>
      </c>
      <c r="K20" s="106">
        <f t="shared" si="4"/>
        <v>0</v>
      </c>
      <c r="L20" s="239">
        <f t="shared" si="5"/>
        <v>0</v>
      </c>
      <c r="M20" s="243"/>
      <c r="N20" s="109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244"/>
      <c r="AG20" s="243"/>
      <c r="AH20" s="244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 t="s">
        <v>31</v>
      </c>
      <c r="AV20" s="108"/>
      <c r="AW20" s="108"/>
      <c r="AX20" s="108"/>
      <c r="AY20" s="108"/>
      <c r="BA20" s="31"/>
      <c r="BB20" s="31"/>
      <c r="BC20" s="28"/>
    </row>
    <row r="21" spans="1:55" s="30" customFormat="1" ht="15.75" customHeight="1" x14ac:dyDescent="0.3">
      <c r="A21" s="135"/>
      <c r="B21" s="28" t="s">
        <v>42</v>
      </c>
      <c r="C21" s="136"/>
      <c r="D21" s="81" t="s">
        <v>31</v>
      </c>
      <c r="E21" s="82"/>
      <c r="F21" s="82"/>
      <c r="G21" s="83" t="s">
        <v>43</v>
      </c>
      <c r="H21" s="82"/>
      <c r="I21" s="72"/>
      <c r="J21" s="105" t="s">
        <v>31</v>
      </c>
      <c r="K21" s="106" t="s">
        <v>31</v>
      </c>
      <c r="L21" s="239" t="s">
        <v>31</v>
      </c>
      <c r="M21" s="243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244"/>
      <c r="AG21" s="243"/>
      <c r="AH21" s="244"/>
      <c r="AI21" s="243" t="s">
        <v>31</v>
      </c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BA21" s="31"/>
      <c r="BB21" s="31"/>
      <c r="BC21" s="28"/>
    </row>
    <row r="22" spans="1:55" s="30" customFormat="1" ht="15.75" customHeight="1" x14ac:dyDescent="0.3">
      <c r="A22" s="135"/>
      <c r="B22" s="28"/>
      <c r="C22" s="136" t="s">
        <v>44</v>
      </c>
      <c r="D22" s="81" t="s">
        <v>31</v>
      </c>
      <c r="E22" s="82" t="s">
        <v>31</v>
      </c>
      <c r="F22" s="82" t="s">
        <v>31</v>
      </c>
      <c r="G22" s="83" t="s">
        <v>31</v>
      </c>
      <c r="H22" s="82" t="s">
        <v>31</v>
      </c>
      <c r="I22" s="72" t="s">
        <v>31</v>
      </c>
      <c r="J22" s="105" t="s">
        <v>31</v>
      </c>
      <c r="K22" s="106" t="s">
        <v>31</v>
      </c>
      <c r="L22" s="239" t="s">
        <v>31</v>
      </c>
      <c r="M22" s="243"/>
      <c r="N22" s="108"/>
      <c r="O22" s="108"/>
      <c r="P22" s="108"/>
      <c r="Q22" s="108"/>
      <c r="R22" s="108" t="s">
        <v>31</v>
      </c>
      <c r="S22" s="108"/>
      <c r="T22" s="108"/>
      <c r="U22" s="108"/>
      <c r="V22" s="108"/>
      <c r="W22" s="108">
        <v>0</v>
      </c>
      <c r="X22" s="108">
        <v>0</v>
      </c>
      <c r="Y22" s="108"/>
      <c r="Z22" s="108"/>
      <c r="AA22" s="108"/>
      <c r="AB22" s="108"/>
      <c r="AC22" s="108"/>
      <c r="AD22" s="108"/>
      <c r="AE22" s="108"/>
      <c r="AF22" s="244"/>
      <c r="AG22" s="243"/>
      <c r="AH22" s="244"/>
      <c r="AI22" s="108" t="s">
        <v>31</v>
      </c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BA22" s="31"/>
      <c r="BB22" s="31"/>
      <c r="BC22" s="28"/>
    </row>
    <row r="23" spans="1:55" s="30" customFormat="1" ht="15.75" customHeight="1" x14ac:dyDescent="0.3">
      <c r="A23" s="135"/>
      <c r="B23" s="28"/>
      <c r="C23" s="204" t="s">
        <v>191</v>
      </c>
      <c r="D23" s="81">
        <f t="shared" ref="D23:D38" si="7">+J23+K23+L23</f>
        <v>110200</v>
      </c>
      <c r="E23" s="82">
        <v>99575</v>
      </c>
      <c r="F23" s="82">
        <f t="shared" si="1"/>
        <v>10625</v>
      </c>
      <c r="G23" s="83">
        <v>120000</v>
      </c>
      <c r="H23" s="82">
        <f t="shared" ref="H23:H39" si="8">+D23-G23</f>
        <v>-9800</v>
      </c>
      <c r="I23" s="72">
        <f>+D23/G23</f>
        <v>0.91833333333333333</v>
      </c>
      <c r="J23" s="105">
        <f t="shared" ref="J23:J38" si="9">SUM(M23:AF23)</f>
        <v>110200</v>
      </c>
      <c r="K23" s="106">
        <f t="shared" ref="K23:K38" si="10">SUM(AG23:AH23)</f>
        <v>0</v>
      </c>
      <c r="L23" s="239">
        <f t="shared" ref="L23:L38" si="11">SUM(AI23:AY23)</f>
        <v>0</v>
      </c>
      <c r="M23" s="243"/>
      <c r="N23" s="108"/>
      <c r="O23" s="108"/>
      <c r="P23" s="108"/>
      <c r="Q23" s="108"/>
      <c r="R23" s="108"/>
      <c r="S23" s="108"/>
      <c r="T23" s="108"/>
      <c r="U23" s="108"/>
      <c r="V23" s="108"/>
      <c r="W23" s="108">
        <v>110200</v>
      </c>
      <c r="X23" s="108"/>
      <c r="Y23" s="108"/>
      <c r="Z23" s="108"/>
      <c r="AA23" s="108"/>
      <c r="AB23" s="108"/>
      <c r="AC23" s="108"/>
      <c r="AD23" s="108"/>
      <c r="AE23" s="108"/>
      <c r="AF23" s="244"/>
      <c r="AG23" s="243"/>
      <c r="AH23" s="244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BA23" s="31"/>
      <c r="BB23" s="31"/>
      <c r="BC23" s="28"/>
    </row>
    <row r="24" spans="1:55" s="30" customFormat="1" ht="15.75" customHeight="1" x14ac:dyDescent="0.3">
      <c r="A24" s="135"/>
      <c r="B24" s="28"/>
      <c r="C24" s="204" t="s">
        <v>192</v>
      </c>
      <c r="D24" s="81">
        <f t="shared" si="7"/>
        <v>47250</v>
      </c>
      <c r="E24" s="82">
        <v>40610</v>
      </c>
      <c r="F24" s="82">
        <f t="shared" si="1"/>
        <v>6640</v>
      </c>
      <c r="G24" s="83">
        <v>40000</v>
      </c>
      <c r="H24" s="82">
        <f t="shared" si="8"/>
        <v>7250</v>
      </c>
      <c r="I24" s="72">
        <f>+D24/G24</f>
        <v>1.1812499999999999</v>
      </c>
      <c r="J24" s="105">
        <f t="shared" si="9"/>
        <v>47250</v>
      </c>
      <c r="K24" s="106">
        <f t="shared" si="10"/>
        <v>0</v>
      </c>
      <c r="L24" s="239">
        <f t="shared" si="11"/>
        <v>0</v>
      </c>
      <c r="M24" s="243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>
        <v>47250</v>
      </c>
      <c r="Y24" s="108"/>
      <c r="Z24" s="108"/>
      <c r="AA24" s="108"/>
      <c r="AB24" s="108"/>
      <c r="AC24" s="108"/>
      <c r="AD24" s="108"/>
      <c r="AE24" s="108"/>
      <c r="AF24" s="244"/>
      <c r="AG24" s="243"/>
      <c r="AH24" s="244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BA24" s="31"/>
      <c r="BB24" s="31"/>
      <c r="BC24" s="28"/>
    </row>
    <row r="25" spans="1:55" s="30" customFormat="1" ht="15.75" customHeight="1" x14ac:dyDescent="0.3">
      <c r="A25" s="135"/>
      <c r="B25" s="28"/>
      <c r="C25" s="204" t="s">
        <v>194</v>
      </c>
      <c r="D25" s="81">
        <f>+J25+K25+L25</f>
        <v>9350</v>
      </c>
      <c r="E25" s="82">
        <v>0</v>
      </c>
      <c r="F25" s="82">
        <f t="shared" si="1"/>
        <v>9350</v>
      </c>
      <c r="G25" s="83">
        <v>38000</v>
      </c>
      <c r="H25" s="82">
        <f t="shared" si="8"/>
        <v>-28650</v>
      </c>
      <c r="I25" s="72">
        <f>+D25/G25</f>
        <v>0.24605263157894736</v>
      </c>
      <c r="J25" s="105">
        <f t="shared" si="9"/>
        <v>9350</v>
      </c>
      <c r="K25" s="106">
        <f>SUM(AG25:AH25)</f>
        <v>0</v>
      </c>
      <c r="L25" s="239">
        <f t="shared" si="11"/>
        <v>0</v>
      </c>
      <c r="M25" s="243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>
        <v>9350</v>
      </c>
      <c r="AA25" s="108"/>
      <c r="AB25" s="108"/>
      <c r="AC25" s="108"/>
      <c r="AD25" s="108"/>
      <c r="AE25" s="108"/>
      <c r="AF25" s="244"/>
      <c r="AG25" s="243"/>
      <c r="AH25" s="244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BA25" s="31"/>
      <c r="BB25" s="31"/>
      <c r="BC25" s="28"/>
    </row>
    <row r="26" spans="1:55" s="30" customFormat="1" ht="15.75" customHeight="1" x14ac:dyDescent="0.3">
      <c r="A26" s="135"/>
      <c r="B26" s="28"/>
      <c r="C26" s="204" t="s">
        <v>166</v>
      </c>
      <c r="D26" s="81">
        <f>+J26+K26+L26</f>
        <v>6600</v>
      </c>
      <c r="E26" s="82">
        <v>0</v>
      </c>
      <c r="F26" s="82">
        <f t="shared" si="1"/>
        <v>6600</v>
      </c>
      <c r="G26" s="83">
        <v>0</v>
      </c>
      <c r="H26" s="82">
        <f t="shared" si="8"/>
        <v>6600</v>
      </c>
      <c r="I26" s="72" t="s">
        <v>129</v>
      </c>
      <c r="J26" s="105">
        <f t="shared" si="9"/>
        <v>6600</v>
      </c>
      <c r="K26" s="106">
        <f>SUM(AG26:AH26)</f>
        <v>0</v>
      </c>
      <c r="L26" s="239">
        <f t="shared" si="11"/>
        <v>0</v>
      </c>
      <c r="M26" s="243"/>
      <c r="N26" s="108"/>
      <c r="O26" s="108"/>
      <c r="P26" s="108">
        <v>6600</v>
      </c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244"/>
      <c r="AG26" s="243"/>
      <c r="AH26" s="244"/>
      <c r="AI26" s="108"/>
      <c r="AJ26" s="108"/>
      <c r="AK26" s="108" t="s">
        <v>31</v>
      </c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BA26" s="31"/>
      <c r="BB26" s="31"/>
      <c r="BC26" s="28"/>
    </row>
    <row r="27" spans="1:55" s="30" customFormat="1" ht="15.75" customHeight="1" x14ac:dyDescent="0.3">
      <c r="A27" s="135"/>
      <c r="B27" s="28"/>
      <c r="C27" s="204" t="s">
        <v>193</v>
      </c>
      <c r="D27" s="81">
        <f t="shared" si="7"/>
        <v>6300</v>
      </c>
      <c r="E27" s="82">
        <v>2850</v>
      </c>
      <c r="F27" s="82">
        <f t="shared" si="1"/>
        <v>3450</v>
      </c>
      <c r="G27" s="83">
        <v>0</v>
      </c>
      <c r="H27" s="82">
        <f t="shared" si="8"/>
        <v>6300</v>
      </c>
      <c r="I27" s="72" t="s">
        <v>129</v>
      </c>
      <c r="J27" s="105">
        <f t="shared" si="9"/>
        <v>0</v>
      </c>
      <c r="K27" s="106">
        <f t="shared" si="10"/>
        <v>0</v>
      </c>
      <c r="L27" s="239">
        <f t="shared" si="11"/>
        <v>6300</v>
      </c>
      <c r="M27" s="243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244"/>
      <c r="AG27" s="243"/>
      <c r="AH27" s="244"/>
      <c r="AI27" s="108">
        <v>6300</v>
      </c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BA27" s="31"/>
      <c r="BB27" s="31"/>
      <c r="BC27" s="28"/>
    </row>
    <row r="28" spans="1:55" s="30" customFormat="1" ht="15.75" customHeight="1" x14ac:dyDescent="0.3">
      <c r="A28" s="135"/>
      <c r="B28" s="28"/>
      <c r="C28" s="204" t="s">
        <v>167</v>
      </c>
      <c r="D28" s="81">
        <f>+J28+K28+L28</f>
        <v>5100</v>
      </c>
      <c r="E28" s="82">
        <v>0</v>
      </c>
      <c r="F28" s="82">
        <f t="shared" si="1"/>
        <v>5100</v>
      </c>
      <c r="G28" s="83">
        <v>0</v>
      </c>
      <c r="H28" s="82">
        <f t="shared" si="8"/>
        <v>5100</v>
      </c>
      <c r="I28" s="72" t="s">
        <v>129</v>
      </c>
      <c r="J28" s="105">
        <f t="shared" si="9"/>
        <v>0</v>
      </c>
      <c r="K28" s="106">
        <f>SUM(AG28:AH28)</f>
        <v>0</v>
      </c>
      <c r="L28" s="239">
        <f t="shared" si="11"/>
        <v>5100</v>
      </c>
      <c r="M28" s="243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244"/>
      <c r="AG28" s="243"/>
      <c r="AH28" s="244"/>
      <c r="AI28" s="108"/>
      <c r="AJ28" s="108"/>
      <c r="AK28" s="108">
        <v>5100</v>
      </c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BA28" s="31"/>
      <c r="BB28" s="31"/>
      <c r="BC28" s="28"/>
    </row>
    <row r="29" spans="1:55" s="30" customFormat="1" ht="15.75" customHeight="1" x14ac:dyDescent="0.3">
      <c r="A29" s="135"/>
      <c r="B29" s="28"/>
      <c r="C29" s="204" t="s">
        <v>197</v>
      </c>
      <c r="D29" s="81">
        <f>+J29+K29+L29</f>
        <v>2800</v>
      </c>
      <c r="E29" s="82">
        <v>0</v>
      </c>
      <c r="F29" s="82">
        <f t="shared" si="1"/>
        <v>2800</v>
      </c>
      <c r="G29" s="83">
        <v>0</v>
      </c>
      <c r="H29" s="82">
        <f t="shared" si="8"/>
        <v>2800</v>
      </c>
      <c r="I29" s="72" t="s">
        <v>129</v>
      </c>
      <c r="J29" s="105">
        <f t="shared" si="9"/>
        <v>2800</v>
      </c>
      <c r="K29" s="106">
        <f>SUM(AG29:AH29)</f>
        <v>0</v>
      </c>
      <c r="L29" s="239">
        <f t="shared" si="11"/>
        <v>0</v>
      </c>
      <c r="M29" s="243"/>
      <c r="N29" s="108"/>
      <c r="O29" s="108"/>
      <c r="P29" s="108"/>
      <c r="Q29" s="108"/>
      <c r="R29" s="108">
        <v>2800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244"/>
      <c r="AG29" s="243"/>
      <c r="AH29" s="244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BA29" s="31"/>
      <c r="BB29" s="31"/>
      <c r="BC29" s="28"/>
    </row>
    <row r="30" spans="1:55" s="30" customFormat="1" ht="15.75" customHeight="1" x14ac:dyDescent="0.3">
      <c r="A30" s="135"/>
      <c r="B30" s="28"/>
      <c r="C30" s="204" t="s">
        <v>196</v>
      </c>
      <c r="D30" s="81">
        <f>+J30+K30+L30</f>
        <v>2300</v>
      </c>
      <c r="E30" s="82">
        <v>0</v>
      </c>
      <c r="F30" s="82">
        <f t="shared" si="1"/>
        <v>2300</v>
      </c>
      <c r="G30" s="83">
        <v>0</v>
      </c>
      <c r="H30" s="82">
        <f t="shared" si="8"/>
        <v>2300</v>
      </c>
      <c r="I30" s="72" t="s">
        <v>129</v>
      </c>
      <c r="J30" s="105">
        <f t="shared" si="9"/>
        <v>0</v>
      </c>
      <c r="K30" s="106">
        <f>SUM(AG30:AH30)</f>
        <v>0</v>
      </c>
      <c r="L30" s="239">
        <f t="shared" si="11"/>
        <v>2300</v>
      </c>
      <c r="M30" s="243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244"/>
      <c r="AG30" s="243"/>
      <c r="AH30" s="244"/>
      <c r="AI30" s="108"/>
      <c r="AJ30" s="108"/>
      <c r="AK30" s="108">
        <v>2300</v>
      </c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BA30" s="31"/>
      <c r="BB30" s="31"/>
      <c r="BC30" s="28"/>
    </row>
    <row r="31" spans="1:55" s="30" customFormat="1" ht="15.75" customHeight="1" x14ac:dyDescent="0.3">
      <c r="A31" s="135"/>
      <c r="B31" s="28"/>
      <c r="C31" s="204" t="s">
        <v>195</v>
      </c>
      <c r="D31" s="81">
        <f>+J31+K31+L31</f>
        <v>1600</v>
      </c>
      <c r="E31" s="82">
        <v>6375</v>
      </c>
      <c r="F31" s="82">
        <f t="shared" si="1"/>
        <v>-4775</v>
      </c>
      <c r="G31" s="83">
        <v>8000</v>
      </c>
      <c r="H31" s="82">
        <f t="shared" si="8"/>
        <v>-6400</v>
      </c>
      <c r="I31" s="72">
        <f>+D31/G31</f>
        <v>0.2</v>
      </c>
      <c r="J31" s="105">
        <f t="shared" si="9"/>
        <v>1600</v>
      </c>
      <c r="K31" s="106">
        <f>SUM(AG31:AH31)</f>
        <v>0</v>
      </c>
      <c r="L31" s="239">
        <f t="shared" si="11"/>
        <v>0</v>
      </c>
      <c r="M31" s="243"/>
      <c r="N31" s="108"/>
      <c r="O31" s="108"/>
      <c r="P31" s="108"/>
      <c r="Q31" s="108"/>
      <c r="R31" s="108">
        <v>1600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244"/>
      <c r="AG31" s="243"/>
      <c r="AH31" s="244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BA31" s="31"/>
      <c r="BB31" s="31"/>
      <c r="BC31" s="28"/>
    </row>
    <row r="32" spans="1:55" s="30" customFormat="1" ht="15.75" customHeight="1" x14ac:dyDescent="0.3">
      <c r="A32" s="135"/>
      <c r="B32" s="28"/>
      <c r="C32" s="204" t="s">
        <v>45</v>
      </c>
      <c r="D32" s="81">
        <f>+J32+K32+L32</f>
        <v>735</v>
      </c>
      <c r="E32" s="82">
        <v>580</v>
      </c>
      <c r="F32" s="82">
        <f t="shared" si="1"/>
        <v>155</v>
      </c>
      <c r="G32" s="83">
        <v>1500</v>
      </c>
      <c r="H32" s="82">
        <f t="shared" si="8"/>
        <v>-765</v>
      </c>
      <c r="I32" s="72">
        <f>+D32/G32</f>
        <v>0.49</v>
      </c>
      <c r="J32" s="105">
        <f t="shared" si="9"/>
        <v>735</v>
      </c>
      <c r="K32" s="106">
        <f>SUM(AG32:AH32)</f>
        <v>0</v>
      </c>
      <c r="L32" s="239">
        <f t="shared" si="11"/>
        <v>0</v>
      </c>
      <c r="M32" s="243"/>
      <c r="N32" s="108"/>
      <c r="O32" s="108">
        <v>735</v>
      </c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244"/>
      <c r="AG32" s="243"/>
      <c r="AH32" s="244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BA32" s="31"/>
      <c r="BB32" s="31"/>
      <c r="BC32" s="28"/>
    </row>
    <row r="33" spans="1:55" s="30" customFormat="1" ht="15.75" customHeight="1" x14ac:dyDescent="0.3">
      <c r="A33" s="135"/>
      <c r="B33" s="28"/>
      <c r="C33" s="204" t="s">
        <v>165</v>
      </c>
      <c r="D33" s="81">
        <f t="shared" si="7"/>
        <v>520</v>
      </c>
      <c r="E33" s="82">
        <v>700</v>
      </c>
      <c r="F33" s="82">
        <f t="shared" si="1"/>
        <v>-180</v>
      </c>
      <c r="G33" s="83">
        <v>0</v>
      </c>
      <c r="H33" s="82">
        <f t="shared" si="8"/>
        <v>520</v>
      </c>
      <c r="I33" s="72" t="s">
        <v>129</v>
      </c>
      <c r="J33" s="105">
        <f t="shared" si="9"/>
        <v>0</v>
      </c>
      <c r="K33" s="106">
        <f t="shared" si="10"/>
        <v>520</v>
      </c>
      <c r="L33" s="239">
        <f t="shared" si="11"/>
        <v>0</v>
      </c>
      <c r="M33" s="243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244"/>
      <c r="AG33" s="243">
        <v>520</v>
      </c>
      <c r="AH33" s="244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BA33" s="31"/>
      <c r="BB33" s="31"/>
      <c r="BC33" s="28"/>
    </row>
    <row r="34" spans="1:55" s="30" customFormat="1" ht="15.75" customHeight="1" x14ac:dyDescent="0.3">
      <c r="A34" s="135"/>
      <c r="B34" s="28"/>
      <c r="C34" s="204" t="s">
        <v>250</v>
      </c>
      <c r="D34" s="81">
        <f t="shared" si="7"/>
        <v>135</v>
      </c>
      <c r="E34" s="82">
        <v>0</v>
      </c>
      <c r="F34" s="82">
        <f t="shared" si="1"/>
        <v>135</v>
      </c>
      <c r="G34" s="83">
        <v>4000</v>
      </c>
      <c r="H34" s="82">
        <f t="shared" si="8"/>
        <v>-3865</v>
      </c>
      <c r="I34" s="72">
        <f>+D34/G34</f>
        <v>3.3750000000000002E-2</v>
      </c>
      <c r="J34" s="105">
        <f t="shared" si="9"/>
        <v>135</v>
      </c>
      <c r="K34" s="106">
        <f t="shared" si="10"/>
        <v>0</v>
      </c>
      <c r="L34" s="239">
        <f t="shared" si="11"/>
        <v>0</v>
      </c>
      <c r="M34" s="243"/>
      <c r="N34" s="108"/>
      <c r="O34" s="108"/>
      <c r="P34" s="108"/>
      <c r="Q34" s="108"/>
      <c r="R34" s="108">
        <v>135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244"/>
      <c r="AG34" s="243"/>
      <c r="AH34" s="244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BA34" s="31"/>
      <c r="BB34" s="31"/>
      <c r="BC34" s="28"/>
    </row>
    <row r="35" spans="1:55" s="30" customFormat="1" ht="15.75" customHeight="1" x14ac:dyDescent="0.3">
      <c r="A35" s="135"/>
      <c r="B35" s="28"/>
      <c r="C35" s="204" t="s">
        <v>155</v>
      </c>
      <c r="D35" s="81">
        <f t="shared" si="7"/>
        <v>125</v>
      </c>
      <c r="E35" s="82">
        <v>0</v>
      </c>
      <c r="F35" s="82">
        <f t="shared" si="1"/>
        <v>125</v>
      </c>
      <c r="G35" s="83">
        <v>0</v>
      </c>
      <c r="H35" s="82">
        <f t="shared" si="8"/>
        <v>125</v>
      </c>
      <c r="I35" s="72" t="s">
        <v>129</v>
      </c>
      <c r="J35" s="105">
        <f t="shared" si="9"/>
        <v>125</v>
      </c>
      <c r="K35" s="106">
        <f t="shared" si="10"/>
        <v>0</v>
      </c>
      <c r="L35" s="239">
        <f t="shared" si="11"/>
        <v>0</v>
      </c>
      <c r="M35" s="243"/>
      <c r="N35" s="108"/>
      <c r="O35" s="108"/>
      <c r="P35" s="108"/>
      <c r="Q35" s="108"/>
      <c r="R35" s="108"/>
      <c r="S35" s="108">
        <v>125</v>
      </c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244"/>
      <c r="AG35" s="243"/>
      <c r="AH35" s="244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BA35" s="31"/>
      <c r="BB35" s="31"/>
      <c r="BC35" s="28"/>
    </row>
    <row r="36" spans="1:55" s="30" customFormat="1" ht="15.75" customHeight="1" x14ac:dyDescent="0.3">
      <c r="A36" s="135"/>
      <c r="B36" s="28"/>
      <c r="C36" s="204" t="s">
        <v>251</v>
      </c>
      <c r="D36" s="81">
        <v>0</v>
      </c>
      <c r="E36" s="82">
        <v>1144</v>
      </c>
      <c r="F36" s="82">
        <f t="shared" si="1"/>
        <v>-1144</v>
      </c>
      <c r="G36" s="83">
        <v>0</v>
      </c>
      <c r="H36" s="82">
        <f t="shared" ref="H36" si="12">+D36-G36</f>
        <v>0</v>
      </c>
      <c r="I36" s="72" t="s">
        <v>129</v>
      </c>
      <c r="J36" s="105">
        <v>0</v>
      </c>
      <c r="K36" s="106">
        <v>0</v>
      </c>
      <c r="L36" s="239">
        <v>0</v>
      </c>
      <c r="M36" s="243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244"/>
      <c r="AG36" s="243"/>
      <c r="AH36" s="244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BA36" s="31"/>
      <c r="BB36" s="31"/>
      <c r="BC36" s="28"/>
    </row>
    <row r="37" spans="1:55" s="30" customFormat="1" ht="15.75" customHeight="1" x14ac:dyDescent="0.3">
      <c r="A37" s="135"/>
      <c r="B37" s="28"/>
      <c r="C37" s="136" t="s">
        <v>168</v>
      </c>
      <c r="D37" s="81">
        <f t="shared" si="7"/>
        <v>44357</v>
      </c>
      <c r="E37" s="82">
        <v>52987</v>
      </c>
      <c r="F37" s="82">
        <f t="shared" si="1"/>
        <v>-8630</v>
      </c>
      <c r="G37" s="83">
        <v>26720</v>
      </c>
      <c r="H37" s="82">
        <f t="shared" si="8"/>
        <v>17637</v>
      </c>
      <c r="I37" s="72">
        <f>+D37/G37</f>
        <v>1.6600673652694611</v>
      </c>
      <c r="J37" s="105">
        <f t="shared" si="9"/>
        <v>0</v>
      </c>
      <c r="K37" s="106">
        <f t="shared" si="10"/>
        <v>44357</v>
      </c>
      <c r="L37" s="239">
        <f t="shared" si="11"/>
        <v>0</v>
      </c>
      <c r="M37" s="243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244"/>
      <c r="AG37" s="243"/>
      <c r="AH37" s="244">
        <v>44357</v>
      </c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BA37" s="31"/>
      <c r="BB37" s="31"/>
      <c r="BC37" s="28"/>
    </row>
    <row r="38" spans="1:55" s="30" customFormat="1" ht="15.75" customHeight="1" x14ac:dyDescent="0.3">
      <c r="A38" s="135"/>
      <c r="B38" s="28"/>
      <c r="C38" s="136" t="s">
        <v>46</v>
      </c>
      <c r="D38" s="81">
        <f t="shared" si="7"/>
        <v>10590</v>
      </c>
      <c r="E38" s="82">
        <v>16857</v>
      </c>
      <c r="F38" s="82">
        <f t="shared" si="1"/>
        <v>-6267</v>
      </c>
      <c r="G38" s="83">
        <v>17350</v>
      </c>
      <c r="H38" s="82">
        <f t="shared" si="8"/>
        <v>-6760</v>
      </c>
      <c r="I38" s="72">
        <f>+D38/G38</f>
        <v>0.6103746397694525</v>
      </c>
      <c r="J38" s="105">
        <f t="shared" si="9"/>
        <v>10590</v>
      </c>
      <c r="K38" s="106">
        <f t="shared" si="10"/>
        <v>0</v>
      </c>
      <c r="L38" s="239">
        <f t="shared" si="11"/>
        <v>0</v>
      </c>
      <c r="M38" s="243"/>
      <c r="N38" s="108"/>
      <c r="O38" s="108"/>
      <c r="P38" s="108"/>
      <c r="Q38" s="108"/>
      <c r="R38" s="108">
        <v>10590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244"/>
      <c r="AG38" s="243"/>
      <c r="AH38" s="244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BA38" s="31"/>
      <c r="BB38" s="31"/>
      <c r="BC38" s="28"/>
    </row>
    <row r="39" spans="1:55" s="30" customFormat="1" ht="15.75" customHeight="1" x14ac:dyDescent="0.3">
      <c r="A39" s="135"/>
      <c r="B39" s="28"/>
      <c r="C39" s="136" t="s">
        <v>252</v>
      </c>
      <c r="D39" s="81">
        <v>0</v>
      </c>
      <c r="E39" s="82">
        <v>10300</v>
      </c>
      <c r="F39" s="82">
        <f t="shared" ref="F39" si="13">D39-E39</f>
        <v>-10300</v>
      </c>
      <c r="G39" s="83">
        <v>0</v>
      </c>
      <c r="H39" s="82">
        <f t="shared" si="8"/>
        <v>0</v>
      </c>
      <c r="I39" s="72" t="s">
        <v>129</v>
      </c>
      <c r="J39" s="105">
        <v>0</v>
      </c>
      <c r="K39" s="106">
        <v>0</v>
      </c>
      <c r="L39" s="239">
        <v>0</v>
      </c>
      <c r="M39" s="243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244"/>
      <c r="AG39" s="243"/>
      <c r="AH39" s="244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BA39" s="31"/>
      <c r="BB39" s="31"/>
      <c r="BC39" s="28"/>
    </row>
    <row r="40" spans="1:55" s="30" customFormat="1" ht="14.4" x14ac:dyDescent="0.3">
      <c r="A40" s="135"/>
      <c r="B40" s="28" t="s">
        <v>47</v>
      </c>
      <c r="C40" s="136"/>
      <c r="D40" s="81" t="s">
        <v>31</v>
      </c>
      <c r="E40" s="82"/>
      <c r="F40" s="82"/>
      <c r="G40" s="83" t="s">
        <v>31</v>
      </c>
      <c r="H40" s="82"/>
      <c r="I40" s="72"/>
      <c r="J40" s="105" t="s">
        <v>31</v>
      </c>
      <c r="K40" s="106" t="s">
        <v>31</v>
      </c>
      <c r="L40" s="239" t="s">
        <v>31</v>
      </c>
      <c r="M40" s="243" t="s">
        <v>31</v>
      </c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244"/>
      <c r="AG40" s="243"/>
      <c r="AH40" s="244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 t="s">
        <v>31</v>
      </c>
      <c r="AY40" s="108"/>
      <c r="BA40" s="31"/>
      <c r="BB40" s="31"/>
      <c r="BC40" s="28"/>
    </row>
    <row r="41" spans="1:55" s="30" customFormat="1" ht="14.4" x14ac:dyDescent="0.3">
      <c r="A41" s="135"/>
      <c r="B41" s="28"/>
      <c r="C41" s="136" t="s">
        <v>119</v>
      </c>
      <c r="D41" s="81">
        <f>+J41+K41+L41</f>
        <v>18965.27</v>
      </c>
      <c r="E41" s="82">
        <v>-22805</v>
      </c>
      <c r="F41" s="82">
        <f t="shared" si="1"/>
        <v>41770.270000000004</v>
      </c>
      <c r="G41" s="83">
        <v>6000</v>
      </c>
      <c r="H41" s="82">
        <f>+D41-G41</f>
        <v>12965.27</v>
      </c>
      <c r="I41" s="72">
        <f>+D41/G41</f>
        <v>3.1608783333333332</v>
      </c>
      <c r="J41" s="105">
        <f>SUM(M41:AF41)</f>
        <v>10880.7</v>
      </c>
      <c r="K41" s="106">
        <f>SUM(AG41:AH41)</f>
        <v>0</v>
      </c>
      <c r="L41" s="239">
        <f>SUM(AI41:AY41)</f>
        <v>8084.57</v>
      </c>
      <c r="M41" s="243">
        <v>10880.7</v>
      </c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244"/>
      <c r="AG41" s="243"/>
      <c r="AH41" s="244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>
        <v>8084.57</v>
      </c>
      <c r="BA41" s="31"/>
      <c r="BB41" s="31"/>
      <c r="BC41" s="28"/>
    </row>
    <row r="42" spans="1:55" s="30" customFormat="1" ht="14.4" x14ac:dyDescent="0.3">
      <c r="A42" s="135"/>
      <c r="B42" s="28"/>
      <c r="C42" s="136" t="s">
        <v>48</v>
      </c>
      <c r="D42" s="81">
        <f>+J42+K42+L42</f>
        <v>15689.66</v>
      </c>
      <c r="E42" s="82">
        <v>6682</v>
      </c>
      <c r="F42" s="82">
        <f t="shared" si="1"/>
        <v>9007.66</v>
      </c>
      <c r="G42" s="83">
        <v>15000</v>
      </c>
      <c r="H42" s="82">
        <f>+D42-G42</f>
        <v>689.65999999999985</v>
      </c>
      <c r="I42" s="72">
        <f>+D42/G42</f>
        <v>1.0459773333333333</v>
      </c>
      <c r="J42" s="105">
        <f>SUM(M42:AF42)</f>
        <v>0</v>
      </c>
      <c r="K42" s="106">
        <f>SUM(AG42:AH42)</f>
        <v>0</v>
      </c>
      <c r="L42" s="239">
        <f>SUM(AI42:AY42)</f>
        <v>15689.66</v>
      </c>
      <c r="M42" s="243">
        <v>0</v>
      </c>
      <c r="N42" s="108"/>
      <c r="O42" s="108"/>
      <c r="P42" s="108"/>
      <c r="Q42" s="108">
        <v>0</v>
      </c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244"/>
      <c r="AG42" s="243"/>
      <c r="AH42" s="244"/>
      <c r="AI42" s="108"/>
      <c r="AJ42" s="108"/>
      <c r="AK42" s="108"/>
      <c r="AL42" s="108"/>
      <c r="AM42" s="108"/>
      <c r="AN42" s="108"/>
      <c r="AO42" s="108">
        <v>57.3</v>
      </c>
      <c r="AP42" s="108"/>
      <c r="AQ42" s="108"/>
      <c r="AR42" s="108"/>
      <c r="AS42" s="108"/>
      <c r="AT42" s="108"/>
      <c r="AU42" s="108"/>
      <c r="AV42" s="108">
        <v>86.57</v>
      </c>
      <c r="AW42" s="108" t="s">
        <v>31</v>
      </c>
      <c r="AX42" s="108">
        <v>6909.99</v>
      </c>
      <c r="AY42" s="108">
        <v>8635.7999999999993</v>
      </c>
      <c r="BA42" s="31"/>
      <c r="BB42" s="31"/>
      <c r="BC42" s="28"/>
    </row>
    <row r="43" spans="1:55" s="30" customFormat="1" ht="14.4" x14ac:dyDescent="0.3">
      <c r="A43" s="135"/>
      <c r="B43" s="28"/>
      <c r="C43" s="136" t="s">
        <v>235</v>
      </c>
      <c r="D43" s="81">
        <f t="shared" ref="D43:D45" si="14">+J43+K43+L43</f>
        <v>4585.8999999999996</v>
      </c>
      <c r="E43" s="82">
        <v>-395</v>
      </c>
      <c r="F43" s="82">
        <f t="shared" si="1"/>
        <v>4980.8999999999996</v>
      </c>
      <c r="G43" s="83">
        <f>31000-6000-15000-4500</f>
        <v>5500</v>
      </c>
      <c r="H43" s="82">
        <f>+D43-G43</f>
        <v>-914.10000000000036</v>
      </c>
      <c r="I43" s="72">
        <f>+D43/G43</f>
        <v>0.83379999999999999</v>
      </c>
      <c r="J43" s="105">
        <f>SUM(M43:AF43)</f>
        <v>4585.8999999999996</v>
      </c>
      <c r="K43" s="106">
        <f t="shared" ref="K43:K45" si="15">SUM(AG43:AH43)</f>
        <v>0</v>
      </c>
      <c r="L43" s="239">
        <f>SUM(AI43:AY43)</f>
        <v>0</v>
      </c>
      <c r="M43" s="243">
        <v>4585.8999999999996</v>
      </c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244"/>
      <c r="AG43" s="243"/>
      <c r="AH43" s="244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BA43" s="31"/>
      <c r="BB43" s="31"/>
      <c r="BC43" s="28"/>
    </row>
    <row r="44" spans="1:55" s="30" customFormat="1" ht="14.4" x14ac:dyDescent="0.3">
      <c r="A44" s="135"/>
      <c r="B44" s="28"/>
      <c r="C44" s="136" t="s">
        <v>118</v>
      </c>
      <c r="D44" s="81">
        <f t="shared" si="14"/>
        <v>4412.34</v>
      </c>
      <c r="E44" s="82">
        <v>6072</v>
      </c>
      <c r="F44" s="82">
        <f t="shared" si="1"/>
        <v>-1659.6599999999999</v>
      </c>
      <c r="G44" s="83">
        <v>4500</v>
      </c>
      <c r="H44" s="82">
        <f>+D44-G44</f>
        <v>-87.659999999999854</v>
      </c>
      <c r="I44" s="72">
        <f>+D44/G44</f>
        <v>0.98052000000000006</v>
      </c>
      <c r="J44" s="105">
        <f>SUM(M44:AF44)</f>
        <v>2324.21</v>
      </c>
      <c r="K44" s="106">
        <f t="shared" si="15"/>
        <v>0</v>
      </c>
      <c r="L44" s="239">
        <f>SUM(AI44:AY44)</f>
        <v>2088.13</v>
      </c>
      <c r="M44" s="243">
        <v>2324.21</v>
      </c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244"/>
      <c r="AG44" s="243"/>
      <c r="AH44" s="244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 t="s">
        <v>31</v>
      </c>
      <c r="AX44" s="108" t="s">
        <v>31</v>
      </c>
      <c r="AY44" s="108">
        <v>2088.13</v>
      </c>
      <c r="BA44" s="31"/>
      <c r="BB44" s="31"/>
      <c r="BC44" s="28"/>
    </row>
    <row r="45" spans="1:55" s="30" customFormat="1" ht="14.4" x14ac:dyDescent="0.3">
      <c r="A45" s="135"/>
      <c r="B45" s="28" t="s">
        <v>50</v>
      </c>
      <c r="C45" s="136"/>
      <c r="D45" s="81">
        <f t="shared" si="14"/>
        <v>14110</v>
      </c>
      <c r="E45" s="82">
        <v>15670</v>
      </c>
      <c r="F45" s="82">
        <f t="shared" si="1"/>
        <v>-1560</v>
      </c>
      <c r="G45" s="83">
        <f>18000+16000</f>
        <v>34000</v>
      </c>
      <c r="H45" s="82">
        <f>+D45-G45</f>
        <v>-19890</v>
      </c>
      <c r="I45" s="72">
        <f>+D45/G45</f>
        <v>0.41499999999999998</v>
      </c>
      <c r="J45" s="105">
        <f>SUM(M45:AF45)</f>
        <v>0</v>
      </c>
      <c r="K45" s="106">
        <f t="shared" si="15"/>
        <v>14110</v>
      </c>
      <c r="L45" s="239">
        <f>SUM(AI45:AY45)</f>
        <v>0</v>
      </c>
      <c r="M45" s="243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 t="s">
        <v>31</v>
      </c>
      <c r="AB45" s="108"/>
      <c r="AC45" s="108"/>
      <c r="AD45" s="108"/>
      <c r="AE45" s="108"/>
      <c r="AF45" s="244"/>
      <c r="AG45" s="243">
        <v>14110</v>
      </c>
      <c r="AH45" s="244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BA45" s="31"/>
      <c r="BB45" s="31"/>
      <c r="BC45" s="28"/>
    </row>
    <row r="46" spans="1:55" s="30" customFormat="1" ht="14.4" x14ac:dyDescent="0.3">
      <c r="A46" s="135"/>
      <c r="B46" s="28" t="s">
        <v>51</v>
      </c>
      <c r="C46" s="136"/>
      <c r="D46" s="81" t="s">
        <v>31</v>
      </c>
      <c r="E46" s="82"/>
      <c r="F46" s="82"/>
      <c r="G46" s="83" t="s">
        <v>31</v>
      </c>
      <c r="H46" s="82"/>
      <c r="I46" s="72"/>
      <c r="J46" s="105" t="s">
        <v>31</v>
      </c>
      <c r="K46" s="106" t="s">
        <v>31</v>
      </c>
      <c r="L46" s="239" t="s">
        <v>31</v>
      </c>
      <c r="M46" s="243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244"/>
      <c r="AG46" s="243"/>
      <c r="AH46" s="244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BA46" s="31"/>
      <c r="BB46" s="31"/>
      <c r="BC46" s="28"/>
    </row>
    <row r="47" spans="1:55" s="30" customFormat="1" ht="14.4" x14ac:dyDescent="0.3">
      <c r="A47" s="135"/>
      <c r="B47" s="28"/>
      <c r="C47" s="136" t="s">
        <v>49</v>
      </c>
      <c r="D47" s="81">
        <f>+J47+K47+L47</f>
        <v>1508.81</v>
      </c>
      <c r="E47" s="82">
        <v>1043</v>
      </c>
      <c r="F47" s="82">
        <f t="shared" si="1"/>
        <v>465.80999999999995</v>
      </c>
      <c r="G47" s="83">
        <v>0</v>
      </c>
      <c r="H47" s="82">
        <f>+D47-G47</f>
        <v>1508.81</v>
      </c>
      <c r="I47" s="72" t="s">
        <v>129</v>
      </c>
      <c r="J47" s="105">
        <f>SUM(M47:AF47)</f>
        <v>1508.81</v>
      </c>
      <c r="K47" s="106">
        <f>SUM(AG47:AH47)</f>
        <v>0</v>
      </c>
      <c r="L47" s="239">
        <f>SUM(AI47:AY47)</f>
        <v>0</v>
      </c>
      <c r="M47" s="243">
        <v>1508.81</v>
      </c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244"/>
      <c r="AG47" s="243"/>
      <c r="AH47" s="244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BA47" s="31"/>
      <c r="BB47" s="31"/>
      <c r="BC47" s="28"/>
    </row>
    <row r="48" spans="1:55" s="30" customFormat="1" ht="14.4" x14ac:dyDescent="0.3">
      <c r="A48" s="135"/>
      <c r="B48" s="28"/>
      <c r="C48" s="136" t="s">
        <v>52</v>
      </c>
      <c r="D48" s="81">
        <f t="shared" ref="D48:D51" si="16">+J48+K48+L48</f>
        <v>665.81</v>
      </c>
      <c r="E48" s="82">
        <v>857</v>
      </c>
      <c r="F48" s="82">
        <f t="shared" si="1"/>
        <v>-191.19000000000005</v>
      </c>
      <c r="G48" s="83">
        <v>0</v>
      </c>
      <c r="H48" s="82">
        <f>+D48-G48</f>
        <v>665.81</v>
      </c>
      <c r="I48" s="72" t="s">
        <v>129</v>
      </c>
      <c r="J48" s="105">
        <f>SUM(M48:AF48)</f>
        <v>665.81</v>
      </c>
      <c r="K48" s="106">
        <f t="shared" ref="K48:K51" si="17">SUM(AG48:AH48)</f>
        <v>0</v>
      </c>
      <c r="L48" s="239">
        <f>SUM(AI48:AY48)</f>
        <v>0</v>
      </c>
      <c r="M48" s="243">
        <v>665.81</v>
      </c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244"/>
      <c r="AG48" s="243"/>
      <c r="AH48" s="244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BA48" s="31"/>
      <c r="BB48" s="31"/>
      <c r="BC48" s="28"/>
    </row>
    <row r="49" spans="1:55" s="30" customFormat="1" ht="14.4" x14ac:dyDescent="0.3">
      <c r="A49" s="135"/>
      <c r="B49" s="28"/>
      <c r="C49" s="136" t="s">
        <v>253</v>
      </c>
      <c r="D49" s="81">
        <v>0</v>
      </c>
      <c r="E49" s="82">
        <v>1815</v>
      </c>
      <c r="F49" s="82">
        <f t="shared" ref="F49" si="18">D49-E49</f>
        <v>-1815</v>
      </c>
      <c r="G49" s="83">
        <v>0</v>
      </c>
      <c r="H49" s="82">
        <f>+D49-G49</f>
        <v>0</v>
      </c>
      <c r="I49" s="72" t="s">
        <v>129</v>
      </c>
      <c r="J49" s="105">
        <v>0</v>
      </c>
      <c r="K49" s="106">
        <v>0</v>
      </c>
      <c r="L49" s="239">
        <v>0</v>
      </c>
      <c r="M49" s="243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244"/>
      <c r="AG49" s="243"/>
      <c r="AH49" s="244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BA49" s="31"/>
      <c r="BB49" s="31"/>
      <c r="BC49" s="28"/>
    </row>
    <row r="50" spans="1:55" s="30" customFormat="1" ht="14.4" x14ac:dyDescent="0.3">
      <c r="A50" s="135"/>
      <c r="B50" s="28"/>
      <c r="C50" s="136" t="s">
        <v>53</v>
      </c>
      <c r="D50" s="81">
        <f t="shared" si="16"/>
        <v>415.31</v>
      </c>
      <c r="E50" s="82">
        <v>0</v>
      </c>
      <c r="F50" s="82">
        <f t="shared" si="1"/>
        <v>415.31</v>
      </c>
      <c r="G50" s="83">
        <v>11500</v>
      </c>
      <c r="H50" s="82">
        <f>+D50-G50</f>
        <v>-11084.69</v>
      </c>
      <c r="I50" s="72">
        <f>+D50/G50</f>
        <v>3.611391304347826E-2</v>
      </c>
      <c r="J50" s="105">
        <f>SUM(M50:AF50)</f>
        <v>415.31</v>
      </c>
      <c r="K50" s="106">
        <f t="shared" si="17"/>
        <v>0</v>
      </c>
      <c r="L50" s="239">
        <f>SUM(AI50:AY50)</f>
        <v>0</v>
      </c>
      <c r="M50" s="243">
        <v>0</v>
      </c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>
        <v>415.31</v>
      </c>
      <c r="AB50" s="108"/>
      <c r="AC50" s="108"/>
      <c r="AD50" s="108"/>
      <c r="AE50" s="108"/>
      <c r="AF50" s="244"/>
      <c r="AG50" s="243"/>
      <c r="AH50" s="244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BA50" s="31"/>
      <c r="BB50" s="31"/>
      <c r="BC50" s="28"/>
    </row>
    <row r="51" spans="1:55" s="30" customFormat="1" ht="14.4" x14ac:dyDescent="0.3">
      <c r="A51" s="135"/>
      <c r="B51" s="28"/>
      <c r="C51" s="136" t="s">
        <v>157</v>
      </c>
      <c r="D51" s="81">
        <f t="shared" si="16"/>
        <v>257.52</v>
      </c>
      <c r="E51" s="82">
        <v>25</v>
      </c>
      <c r="F51" s="82">
        <f t="shared" si="1"/>
        <v>232.51999999999998</v>
      </c>
      <c r="G51" s="83">
        <v>0</v>
      </c>
      <c r="H51" s="82">
        <f>+D51-G51</f>
        <v>257.52</v>
      </c>
      <c r="I51" s="72" t="s">
        <v>129</v>
      </c>
      <c r="J51" s="105">
        <f>SUM(M51:AF51)</f>
        <v>257.52</v>
      </c>
      <c r="K51" s="106">
        <f t="shared" si="17"/>
        <v>0</v>
      </c>
      <c r="L51" s="239">
        <f>SUM(AI51:AY51)</f>
        <v>0</v>
      </c>
      <c r="M51" s="243">
        <v>257.52</v>
      </c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244"/>
      <c r="AG51" s="243"/>
      <c r="AH51" s="244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BA51" s="31"/>
      <c r="BB51" s="31"/>
      <c r="BC51" s="28"/>
    </row>
    <row r="52" spans="1:55" s="30" customFormat="1" ht="17.25" customHeight="1" x14ac:dyDescent="0.3">
      <c r="A52" s="135"/>
      <c r="B52" s="28" t="s">
        <v>237</v>
      </c>
      <c r="C52" s="136"/>
      <c r="D52" s="81" t="s">
        <v>31</v>
      </c>
      <c r="E52" s="82"/>
      <c r="F52" s="82"/>
      <c r="G52" s="83" t="s">
        <v>31</v>
      </c>
      <c r="H52" s="82"/>
      <c r="I52" s="72"/>
      <c r="J52" s="105" t="s">
        <v>31</v>
      </c>
      <c r="K52" s="106" t="s">
        <v>31</v>
      </c>
      <c r="L52" s="239" t="s">
        <v>31</v>
      </c>
      <c r="M52" s="243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244"/>
      <c r="AG52" s="243"/>
      <c r="AH52" s="244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BA52" s="31"/>
      <c r="BB52" s="31"/>
      <c r="BC52" s="28"/>
    </row>
    <row r="53" spans="1:55" s="30" customFormat="1" ht="17.25" customHeight="1" x14ac:dyDescent="0.3">
      <c r="A53" s="135"/>
      <c r="B53" s="28"/>
      <c r="C53" s="136" t="s">
        <v>55</v>
      </c>
      <c r="D53" s="81">
        <f t="shared" ref="D53:D55" si="19">+J53+K53+L53</f>
        <v>53051.31</v>
      </c>
      <c r="E53" s="82">
        <f>26762+1799+263</f>
        <v>28824</v>
      </c>
      <c r="F53" s="82">
        <f t="shared" si="1"/>
        <v>24227.309999999998</v>
      </c>
      <c r="G53" s="83">
        <f>25000-15000</f>
        <v>10000</v>
      </c>
      <c r="H53" s="82">
        <f>+D53-G53</f>
        <v>43051.31</v>
      </c>
      <c r="I53" s="72">
        <f>+D53/G53</f>
        <v>5.3051309999999994</v>
      </c>
      <c r="J53" s="105">
        <f>SUM(M53:AF53)</f>
        <v>53051.31</v>
      </c>
      <c r="K53" s="106">
        <f>SUM(AG53:AH53)</f>
        <v>0</v>
      </c>
      <c r="L53" s="239">
        <f>SUM(AI53:AY53)</f>
        <v>0</v>
      </c>
      <c r="M53" s="243">
        <f>19110.36+7875+1750</f>
        <v>28735.360000000001</v>
      </c>
      <c r="N53" s="108"/>
      <c r="O53" s="108">
        <v>100</v>
      </c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>
        <f>23715.95+500</f>
        <v>24215.95</v>
      </c>
      <c r="AB53" s="108"/>
      <c r="AC53" s="108"/>
      <c r="AD53" s="108"/>
      <c r="AE53" s="108"/>
      <c r="AF53" s="244"/>
      <c r="AG53" s="243"/>
      <c r="AH53" s="244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BA53" s="31"/>
      <c r="BB53" s="31"/>
      <c r="BC53" s="28"/>
    </row>
    <row r="54" spans="1:55" s="30" customFormat="1" ht="17.25" customHeight="1" x14ac:dyDescent="0.3">
      <c r="A54" s="135"/>
      <c r="B54" s="28"/>
      <c r="C54" s="136" t="s">
        <v>131</v>
      </c>
      <c r="D54" s="81">
        <f t="shared" si="19"/>
        <v>30997.279999999999</v>
      </c>
      <c r="E54" s="82">
        <v>5148</v>
      </c>
      <c r="F54" s="82">
        <f t="shared" si="1"/>
        <v>25849.279999999999</v>
      </c>
      <c r="G54" s="83">
        <v>15000</v>
      </c>
      <c r="H54" s="82">
        <f>+D54-G54</f>
        <v>15997.279999999999</v>
      </c>
      <c r="I54" s="72">
        <f>+D54/G54</f>
        <v>2.0664853333333331</v>
      </c>
      <c r="J54" s="105">
        <f>SUM(M54:AF54)</f>
        <v>8349.01</v>
      </c>
      <c r="K54" s="106">
        <f>SUM(AG54:AH54)</f>
        <v>0</v>
      </c>
      <c r="L54" s="239">
        <f>SUM(AI54:AY54)</f>
        <v>22648.27</v>
      </c>
      <c r="M54" s="243">
        <v>8349.01</v>
      </c>
      <c r="N54" s="108"/>
      <c r="O54" s="108"/>
      <c r="P54" s="108"/>
      <c r="Q54" s="108" t="s">
        <v>31</v>
      </c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244"/>
      <c r="AG54" s="243"/>
      <c r="AH54" s="244"/>
      <c r="AI54" s="108"/>
      <c r="AJ54" s="108"/>
      <c r="AK54" s="108"/>
      <c r="AL54" s="108"/>
      <c r="AM54" s="108"/>
      <c r="AN54" s="108"/>
      <c r="AO54" s="108">
        <v>22648.27</v>
      </c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BA54" s="31"/>
      <c r="BB54" s="31"/>
      <c r="BC54" s="28"/>
    </row>
    <row r="55" spans="1:55" s="28" customFormat="1" ht="17.25" customHeight="1" x14ac:dyDescent="0.3">
      <c r="A55" s="135"/>
      <c r="C55" s="136" t="s">
        <v>54</v>
      </c>
      <c r="D55" s="81">
        <f t="shared" si="19"/>
        <v>117</v>
      </c>
      <c r="E55" s="82">
        <v>0</v>
      </c>
      <c r="F55" s="82">
        <f t="shared" si="1"/>
        <v>117</v>
      </c>
      <c r="G55" s="83">
        <v>0</v>
      </c>
      <c r="H55" s="82">
        <f>+D55-G55</f>
        <v>117</v>
      </c>
      <c r="I55" s="72" t="s">
        <v>129</v>
      </c>
      <c r="J55" s="105">
        <f>SUM(M55:AF55)</f>
        <v>117</v>
      </c>
      <c r="K55" s="106">
        <f>SUM(AG55:AH55)</f>
        <v>0</v>
      </c>
      <c r="L55" s="239">
        <f>SUM(AI55:AY55)</f>
        <v>0</v>
      </c>
      <c r="M55" s="243">
        <v>117</v>
      </c>
      <c r="N55" s="109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244"/>
      <c r="AG55" s="243"/>
      <c r="AH55" s="244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30"/>
      <c r="BA55" s="31"/>
      <c r="BB55" s="31"/>
    </row>
    <row r="56" spans="1:55" s="30" customFormat="1" ht="17.25" customHeight="1" x14ac:dyDescent="0.3">
      <c r="A56" s="135"/>
      <c r="B56" s="28"/>
      <c r="C56" s="136" t="s">
        <v>58</v>
      </c>
      <c r="D56" s="81">
        <f>+J56+K56+L56</f>
        <v>0</v>
      </c>
      <c r="E56" s="82">
        <v>12744</v>
      </c>
      <c r="F56" s="82">
        <f t="shared" si="1"/>
        <v>-12744</v>
      </c>
      <c r="G56" s="83">
        <v>10000</v>
      </c>
      <c r="H56" s="82">
        <f>+D56-G56</f>
        <v>-10000</v>
      </c>
      <c r="I56" s="72">
        <f>+D56/G56</f>
        <v>0</v>
      </c>
      <c r="J56" s="105">
        <f>SUM(M56:AF56)</f>
        <v>0</v>
      </c>
      <c r="K56" s="106">
        <f>SUM(AG56:AH56)</f>
        <v>0</v>
      </c>
      <c r="L56" s="239">
        <f>SUM(AI56:AY56)</f>
        <v>0</v>
      </c>
      <c r="M56" s="243"/>
      <c r="N56" s="108"/>
      <c r="O56" s="108"/>
      <c r="P56" s="108"/>
      <c r="Q56" s="108"/>
      <c r="R56" s="108"/>
      <c r="S56" s="108"/>
      <c r="T56" s="108"/>
      <c r="U56" s="108"/>
      <c r="V56" s="108"/>
      <c r="W56" s="108">
        <v>0</v>
      </c>
      <c r="X56" s="108">
        <v>0</v>
      </c>
      <c r="Y56" s="108"/>
      <c r="Z56" s="108"/>
      <c r="AA56" s="108"/>
      <c r="AB56" s="108"/>
      <c r="AC56" s="108"/>
      <c r="AD56" s="108"/>
      <c r="AE56" s="108"/>
      <c r="AF56" s="244"/>
      <c r="AG56" s="243"/>
      <c r="AH56" s="244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BA56" s="31"/>
      <c r="BB56" s="31"/>
      <c r="BC56" s="28"/>
    </row>
    <row r="57" spans="1:55" s="28" customFormat="1" ht="17.25" customHeight="1" x14ac:dyDescent="0.3">
      <c r="A57" s="135"/>
      <c r="C57" s="136" t="s">
        <v>59</v>
      </c>
      <c r="D57" s="81">
        <f>+J57+K57+L57</f>
        <v>9551.48</v>
      </c>
      <c r="E57" s="82">
        <v>0</v>
      </c>
      <c r="F57" s="82">
        <f t="shared" si="1"/>
        <v>9551.48</v>
      </c>
      <c r="G57" s="83">
        <v>0</v>
      </c>
      <c r="H57" s="82">
        <f>+D57-G57</f>
        <v>9551.48</v>
      </c>
      <c r="I57" s="72" t="s">
        <v>129</v>
      </c>
      <c r="J57" s="105">
        <f>SUM(M57:AF57)</f>
        <v>9551.48</v>
      </c>
      <c r="K57" s="106">
        <f>SUM(AG57:AH57)</f>
        <v>0</v>
      </c>
      <c r="L57" s="239">
        <f>SUM(AI57:AY57)</f>
        <v>0</v>
      </c>
      <c r="M57" s="243"/>
      <c r="N57" s="108"/>
      <c r="O57" s="108"/>
      <c r="P57" s="108"/>
      <c r="Q57" s="108"/>
      <c r="R57" s="108"/>
      <c r="S57" s="108"/>
      <c r="T57" s="108"/>
      <c r="U57" s="108"/>
      <c r="V57" s="108"/>
      <c r="W57" s="108">
        <v>9101.48</v>
      </c>
      <c r="X57" s="108">
        <v>450</v>
      </c>
      <c r="Y57" s="108"/>
      <c r="Z57" s="108"/>
      <c r="AA57" s="108"/>
      <c r="AB57" s="108"/>
      <c r="AC57" s="108"/>
      <c r="AD57" s="108"/>
      <c r="AE57" s="108"/>
      <c r="AF57" s="244"/>
      <c r="AG57" s="243"/>
      <c r="AH57" s="244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30"/>
      <c r="BA57" s="31"/>
      <c r="BB57" s="31"/>
    </row>
    <row r="58" spans="1:55" s="30" customFormat="1" ht="17.25" customHeight="1" x14ac:dyDescent="0.3">
      <c r="A58" s="135"/>
      <c r="B58" s="28"/>
      <c r="C58" s="136" t="s">
        <v>56</v>
      </c>
      <c r="D58" s="81" t="s">
        <v>31</v>
      </c>
      <c r="E58" s="82" t="s">
        <v>31</v>
      </c>
      <c r="F58" s="82"/>
      <c r="G58" s="83" t="s">
        <v>31</v>
      </c>
      <c r="H58" s="82" t="s">
        <v>31</v>
      </c>
      <c r="I58" s="72" t="s">
        <v>31</v>
      </c>
      <c r="J58" s="105" t="s">
        <v>31</v>
      </c>
      <c r="K58" s="106" t="s">
        <v>31</v>
      </c>
      <c r="L58" s="239" t="s">
        <v>31</v>
      </c>
      <c r="M58" s="243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244"/>
      <c r="AG58" s="243"/>
      <c r="AH58" s="244"/>
      <c r="AI58" s="108" t="s">
        <v>31</v>
      </c>
      <c r="AJ58" s="108" t="s">
        <v>31</v>
      </c>
      <c r="AK58" s="108"/>
      <c r="AL58" s="108"/>
      <c r="AM58" s="108"/>
      <c r="AN58" s="108" t="s">
        <v>31</v>
      </c>
      <c r="AO58" s="108"/>
      <c r="AP58" s="108" t="s">
        <v>31</v>
      </c>
      <c r="AQ58" s="108"/>
      <c r="AR58" s="108"/>
      <c r="AS58" s="108"/>
      <c r="AT58" s="108"/>
      <c r="AU58" s="108"/>
      <c r="AV58" s="108" t="s">
        <v>31</v>
      </c>
      <c r="AW58" s="108"/>
      <c r="AX58" s="108"/>
      <c r="AY58" s="108"/>
      <c r="BA58" s="31"/>
      <c r="BB58" s="31"/>
      <c r="BC58" s="28"/>
    </row>
    <row r="59" spans="1:55" s="28" customFormat="1" ht="17.25" customHeight="1" x14ac:dyDescent="0.3">
      <c r="A59" s="135"/>
      <c r="C59" s="204" t="s">
        <v>254</v>
      </c>
      <c r="D59" s="81">
        <f>+J59+K59+L59</f>
        <v>310963.99</v>
      </c>
      <c r="E59" s="82">
        <f>307473+10000</f>
        <v>317473</v>
      </c>
      <c r="F59" s="82">
        <f t="shared" si="1"/>
        <v>-6509.0100000000093</v>
      </c>
      <c r="G59" s="83">
        <v>125000</v>
      </c>
      <c r="H59" s="82">
        <f t="shared" ref="H59:H73" si="20">+D59-G59</f>
        <v>185963.99</v>
      </c>
      <c r="I59" s="72">
        <f>+D59/G59</f>
        <v>2.4877119199999997</v>
      </c>
      <c r="J59" s="105">
        <f t="shared" ref="J59:J73" si="21">SUM(M59:AF59)</f>
        <v>0</v>
      </c>
      <c r="K59" s="106">
        <f>SUM(AG59:AH59)</f>
        <v>0</v>
      </c>
      <c r="L59" s="239">
        <f t="shared" ref="L59:L73" si="22">SUM(AI59:AY59)</f>
        <v>310963.99</v>
      </c>
      <c r="M59" s="243"/>
      <c r="N59" s="109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244"/>
      <c r="AG59" s="243"/>
      <c r="AH59" s="244"/>
      <c r="AI59" s="108">
        <v>125000</v>
      </c>
      <c r="AJ59" s="108"/>
      <c r="AK59" s="108"/>
      <c r="AL59" s="108">
        <v>0</v>
      </c>
      <c r="AM59" s="108">
        <v>185963.99</v>
      </c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30"/>
      <c r="BA59" s="31"/>
      <c r="BB59" s="31"/>
    </row>
    <row r="60" spans="1:55" s="36" customFormat="1" ht="17.25" customHeight="1" x14ac:dyDescent="0.3">
      <c r="A60" s="55"/>
      <c r="B60" s="56"/>
      <c r="C60" s="206" t="s">
        <v>199</v>
      </c>
      <c r="D60" s="81">
        <f t="shared" ref="D60:D69" si="23">+J60+K60+L60</f>
        <v>100559.8</v>
      </c>
      <c r="E60" s="82">
        <v>151895</v>
      </c>
      <c r="F60" s="82">
        <f t="shared" si="1"/>
        <v>-51335.199999999997</v>
      </c>
      <c r="G60" s="83">
        <v>124077</v>
      </c>
      <c r="H60" s="145">
        <f t="shared" si="20"/>
        <v>-23517.199999999997</v>
      </c>
      <c r="I60" s="72">
        <f>+D60/G60</f>
        <v>0.81046285774156368</v>
      </c>
      <c r="J60" s="105">
        <f t="shared" si="21"/>
        <v>0</v>
      </c>
      <c r="K60" s="106">
        <f t="shared" ref="K60:K73" si="24">SUM(AG60:AH60)</f>
        <v>0</v>
      </c>
      <c r="L60" s="239">
        <f t="shared" si="22"/>
        <v>100559.8</v>
      </c>
      <c r="M60" s="110"/>
      <c r="N60" s="110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285"/>
      <c r="AG60" s="110"/>
      <c r="AH60" s="285"/>
      <c r="AI60" s="111"/>
      <c r="AJ60" s="111">
        <v>100559.8</v>
      </c>
      <c r="AK60" s="111"/>
      <c r="AL60" s="112"/>
      <c r="AM60" s="112"/>
      <c r="AN60" s="112"/>
      <c r="AO60" s="111"/>
      <c r="AP60" s="111"/>
      <c r="AQ60" s="112"/>
      <c r="AR60" s="112"/>
      <c r="AS60" s="112"/>
      <c r="AT60" s="112"/>
      <c r="AU60" s="112"/>
      <c r="AV60" s="112"/>
      <c r="AW60" s="112"/>
      <c r="AX60" s="112"/>
      <c r="AY60" s="112"/>
    </row>
    <row r="61" spans="1:55" s="30" customFormat="1" ht="17.25" customHeight="1" x14ac:dyDescent="0.3">
      <c r="A61" s="135"/>
      <c r="B61" s="28"/>
      <c r="C61" s="204" t="s">
        <v>57</v>
      </c>
      <c r="D61" s="81">
        <f>+J61+K61+L61</f>
        <v>18140.78</v>
      </c>
      <c r="E61" s="82">
        <v>5319</v>
      </c>
      <c r="F61" s="82">
        <f t="shared" si="1"/>
        <v>12821.779999999999</v>
      </c>
      <c r="G61" s="83">
        <v>6000</v>
      </c>
      <c r="H61" s="82">
        <f t="shared" si="20"/>
        <v>12140.779999999999</v>
      </c>
      <c r="I61" s="72">
        <f>+D61/G61</f>
        <v>3.0234633333333329</v>
      </c>
      <c r="J61" s="105">
        <f t="shared" si="21"/>
        <v>0</v>
      </c>
      <c r="K61" s="106">
        <f>SUM(AG61:AH61)</f>
        <v>0</v>
      </c>
      <c r="L61" s="239">
        <f t="shared" si="22"/>
        <v>18140.78</v>
      </c>
      <c r="M61" s="243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244"/>
      <c r="AG61" s="243"/>
      <c r="AH61" s="244"/>
      <c r="AI61" s="108"/>
      <c r="AJ61" s="108"/>
      <c r="AK61" s="108"/>
      <c r="AL61" s="108"/>
      <c r="AM61" s="108"/>
      <c r="AN61" s="108"/>
      <c r="AO61" s="108"/>
      <c r="AP61" s="108">
        <v>18140.78</v>
      </c>
      <c r="AQ61" s="108"/>
      <c r="AR61" s="108"/>
      <c r="AS61" s="108"/>
      <c r="AT61" s="108"/>
      <c r="AU61" s="108"/>
      <c r="AV61" s="108"/>
      <c r="AW61" s="108"/>
      <c r="AX61" s="108"/>
      <c r="AY61" s="108"/>
      <c r="BA61" s="31"/>
      <c r="BB61" s="31"/>
      <c r="BC61" s="28"/>
    </row>
    <row r="62" spans="1:55" s="30" customFormat="1" ht="17.25" customHeight="1" x14ac:dyDescent="0.3">
      <c r="A62" s="135"/>
      <c r="B62" s="28"/>
      <c r="C62" s="204" t="s">
        <v>200</v>
      </c>
      <c r="D62" s="81">
        <f t="shared" si="23"/>
        <v>16590</v>
      </c>
      <c r="E62" s="82">
        <v>11960</v>
      </c>
      <c r="F62" s="82">
        <f t="shared" si="1"/>
        <v>4630</v>
      </c>
      <c r="G62" s="83">
        <v>6000</v>
      </c>
      <c r="H62" s="82">
        <f t="shared" si="20"/>
        <v>10590</v>
      </c>
      <c r="I62" s="72">
        <f>+D62/G62</f>
        <v>2.7650000000000001</v>
      </c>
      <c r="J62" s="105">
        <f t="shared" si="21"/>
        <v>0</v>
      </c>
      <c r="K62" s="106">
        <f t="shared" si="24"/>
        <v>0</v>
      </c>
      <c r="L62" s="239">
        <f t="shared" si="22"/>
        <v>16590</v>
      </c>
      <c r="M62" s="243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244"/>
      <c r="AG62" s="243"/>
      <c r="AH62" s="244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>
        <v>16590</v>
      </c>
      <c r="BA62" s="31"/>
      <c r="BB62" s="31"/>
      <c r="BC62" s="28"/>
    </row>
    <row r="63" spans="1:55" s="30" customFormat="1" ht="17.25" customHeight="1" x14ac:dyDescent="0.3">
      <c r="A63" s="135"/>
      <c r="B63" s="28"/>
      <c r="C63" s="204" t="s">
        <v>205</v>
      </c>
      <c r="D63" s="81">
        <f t="shared" ref="D63" si="25">+J63+K63+L63</f>
        <v>6000</v>
      </c>
      <c r="E63" s="82">
        <v>50000</v>
      </c>
      <c r="F63" s="82">
        <f t="shared" si="1"/>
        <v>-44000</v>
      </c>
      <c r="G63" s="83">
        <v>0</v>
      </c>
      <c r="H63" s="82">
        <f t="shared" si="20"/>
        <v>6000</v>
      </c>
      <c r="I63" s="72" t="s">
        <v>129</v>
      </c>
      <c r="J63" s="105">
        <f t="shared" si="21"/>
        <v>0</v>
      </c>
      <c r="K63" s="106">
        <f t="shared" ref="K63" si="26">SUM(AG63:AH63)</f>
        <v>0</v>
      </c>
      <c r="L63" s="239">
        <f t="shared" si="22"/>
        <v>6000</v>
      </c>
      <c r="M63" s="243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244"/>
      <c r="AG63" s="243"/>
      <c r="AH63" s="244"/>
      <c r="AI63" s="108">
        <v>6000</v>
      </c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BA63" s="31"/>
      <c r="BB63" s="31"/>
      <c r="BC63" s="28"/>
    </row>
    <row r="64" spans="1:55" s="30" customFormat="1" ht="17.25" customHeight="1" x14ac:dyDescent="0.3">
      <c r="A64" s="135"/>
      <c r="B64" s="28"/>
      <c r="C64" s="204" t="s">
        <v>236</v>
      </c>
      <c r="D64" s="81">
        <f>+J64+K64+L64</f>
        <v>4000</v>
      </c>
      <c r="E64" s="82">
        <v>10600</v>
      </c>
      <c r="F64" s="82">
        <f t="shared" si="1"/>
        <v>-6600</v>
      </c>
      <c r="G64" s="83">
        <v>3500</v>
      </c>
      <c r="H64" s="82">
        <f t="shared" si="20"/>
        <v>500</v>
      </c>
      <c r="I64" s="72">
        <f>+D64/G64</f>
        <v>1.1428571428571428</v>
      </c>
      <c r="J64" s="105">
        <f t="shared" si="21"/>
        <v>0</v>
      </c>
      <c r="K64" s="106">
        <f>SUM(AG64:AH64)</f>
        <v>4000</v>
      </c>
      <c r="L64" s="239">
        <f t="shared" si="22"/>
        <v>0</v>
      </c>
      <c r="M64" s="243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244"/>
      <c r="AG64" s="243">
        <v>4000</v>
      </c>
      <c r="AH64" s="244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BA64" s="31"/>
      <c r="BB64" s="31"/>
      <c r="BC64" s="28"/>
    </row>
    <row r="65" spans="1:55" s="30" customFormat="1" ht="17.25" customHeight="1" x14ac:dyDescent="0.3">
      <c r="A65" s="135"/>
      <c r="B65" s="28"/>
      <c r="C65" s="204" t="s">
        <v>238</v>
      </c>
      <c r="D65" s="81">
        <f t="shared" ref="D65" si="27">+J65+K65+L65</f>
        <v>3000</v>
      </c>
      <c r="E65" s="82">
        <v>0</v>
      </c>
      <c r="F65" s="82">
        <f t="shared" si="1"/>
        <v>3000</v>
      </c>
      <c r="G65" s="83">
        <v>0</v>
      </c>
      <c r="H65" s="82">
        <f t="shared" si="20"/>
        <v>3000</v>
      </c>
      <c r="I65" s="72" t="s">
        <v>129</v>
      </c>
      <c r="J65" s="105">
        <f t="shared" si="21"/>
        <v>0</v>
      </c>
      <c r="K65" s="106">
        <f t="shared" ref="K65" si="28">SUM(AG65:AH65)</f>
        <v>0</v>
      </c>
      <c r="L65" s="239">
        <f t="shared" si="22"/>
        <v>3000</v>
      </c>
      <c r="M65" s="243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244"/>
      <c r="AG65" s="243"/>
      <c r="AH65" s="244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>
        <v>3000</v>
      </c>
      <c r="AX65" s="108"/>
      <c r="AY65" s="108"/>
      <c r="BA65" s="31"/>
      <c r="BB65" s="31"/>
      <c r="BC65" s="28"/>
    </row>
    <row r="66" spans="1:55" s="30" customFormat="1" ht="17.25" customHeight="1" x14ac:dyDescent="0.3">
      <c r="A66" s="135"/>
      <c r="B66" s="28"/>
      <c r="C66" s="204" t="s">
        <v>169</v>
      </c>
      <c r="D66" s="81">
        <f t="shared" ref="D66" si="29">+J66+K66+L66</f>
        <v>1000</v>
      </c>
      <c r="E66" s="82">
        <v>0</v>
      </c>
      <c r="F66" s="82">
        <f t="shared" si="1"/>
        <v>1000</v>
      </c>
      <c r="G66" s="83">
        <v>0</v>
      </c>
      <c r="H66" s="82">
        <f t="shared" si="20"/>
        <v>1000</v>
      </c>
      <c r="I66" s="72" t="s">
        <v>129</v>
      </c>
      <c r="J66" s="105">
        <f t="shared" si="21"/>
        <v>0</v>
      </c>
      <c r="K66" s="106">
        <f t="shared" ref="K66" si="30">SUM(AG66:AH66)</f>
        <v>0</v>
      </c>
      <c r="L66" s="239">
        <f t="shared" si="22"/>
        <v>1000</v>
      </c>
      <c r="M66" s="243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244"/>
      <c r="AG66" s="243"/>
      <c r="AH66" s="244"/>
      <c r="AI66" s="108"/>
      <c r="AJ66" s="108"/>
      <c r="AK66" s="108"/>
      <c r="AL66" s="108"/>
      <c r="AM66" s="108">
        <v>1000</v>
      </c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BA66" s="31"/>
      <c r="BB66" s="31"/>
      <c r="BC66" s="28"/>
    </row>
    <row r="67" spans="1:55" s="30" customFormat="1" ht="17.25" customHeight="1" x14ac:dyDescent="0.3">
      <c r="A67" s="135"/>
      <c r="B67" s="28"/>
      <c r="C67" s="204" t="s">
        <v>202</v>
      </c>
      <c r="D67" s="81">
        <f>+J67+K67+L67</f>
        <v>500</v>
      </c>
      <c r="E67" s="82">
        <v>600</v>
      </c>
      <c r="F67" s="82">
        <f t="shared" si="1"/>
        <v>-100</v>
      </c>
      <c r="G67" s="83">
        <v>0</v>
      </c>
      <c r="H67" s="82">
        <f t="shared" si="20"/>
        <v>500</v>
      </c>
      <c r="I67" s="72" t="s">
        <v>129</v>
      </c>
      <c r="J67" s="105">
        <f t="shared" si="21"/>
        <v>0</v>
      </c>
      <c r="K67" s="106">
        <f>SUM(AG67:AH67)</f>
        <v>0</v>
      </c>
      <c r="L67" s="239">
        <f t="shared" si="22"/>
        <v>500</v>
      </c>
      <c r="M67" s="243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244"/>
      <c r="AG67" s="243"/>
      <c r="AH67" s="244"/>
      <c r="AI67" s="108"/>
      <c r="AJ67" s="108"/>
      <c r="AK67" s="108"/>
      <c r="AL67" s="108"/>
      <c r="AM67" s="108"/>
      <c r="AN67" s="108">
        <v>500</v>
      </c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BA67" s="31"/>
      <c r="BB67" s="31"/>
      <c r="BC67" s="28"/>
    </row>
    <row r="68" spans="1:55" s="30" customFormat="1" ht="17.25" customHeight="1" x14ac:dyDescent="0.3">
      <c r="A68" s="135"/>
      <c r="B68" s="28"/>
      <c r="C68" s="204" t="s">
        <v>201</v>
      </c>
      <c r="D68" s="81">
        <f t="shared" si="23"/>
        <v>360.29</v>
      </c>
      <c r="E68" s="82">
        <v>81785</v>
      </c>
      <c r="F68" s="82">
        <f t="shared" si="1"/>
        <v>-81424.710000000006</v>
      </c>
      <c r="G68" s="83">
        <v>0</v>
      </c>
      <c r="H68" s="82">
        <f t="shared" si="20"/>
        <v>360.29</v>
      </c>
      <c r="I68" s="72" t="s">
        <v>129</v>
      </c>
      <c r="J68" s="105">
        <f t="shared" si="21"/>
        <v>0</v>
      </c>
      <c r="K68" s="106">
        <f t="shared" si="24"/>
        <v>0</v>
      </c>
      <c r="L68" s="239">
        <f t="shared" si="22"/>
        <v>360.29</v>
      </c>
      <c r="M68" s="243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244"/>
      <c r="AG68" s="243"/>
      <c r="AH68" s="244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>
        <v>0</v>
      </c>
      <c r="AS68" s="108">
        <v>360.29</v>
      </c>
      <c r="AT68" s="108"/>
      <c r="AU68" s="108"/>
      <c r="AV68" s="108"/>
      <c r="AW68" s="108"/>
      <c r="AX68" s="108"/>
      <c r="AY68" s="108"/>
      <c r="BA68" s="31"/>
      <c r="BB68" s="31"/>
      <c r="BC68" s="28"/>
    </row>
    <row r="69" spans="1:55" s="30" customFormat="1" ht="17.25" customHeight="1" x14ac:dyDescent="0.3">
      <c r="A69" s="135"/>
      <c r="B69" s="28"/>
      <c r="C69" s="204" t="s">
        <v>203</v>
      </c>
      <c r="D69" s="81">
        <f t="shared" si="23"/>
        <v>150</v>
      </c>
      <c r="E69" s="82">
        <v>0</v>
      </c>
      <c r="F69" s="82">
        <f t="shared" si="1"/>
        <v>150</v>
      </c>
      <c r="G69" s="83">
        <v>0</v>
      </c>
      <c r="H69" s="82">
        <f t="shared" si="20"/>
        <v>150</v>
      </c>
      <c r="I69" s="72" t="s">
        <v>129</v>
      </c>
      <c r="J69" s="105">
        <f t="shared" si="21"/>
        <v>0</v>
      </c>
      <c r="K69" s="106">
        <f t="shared" si="24"/>
        <v>0</v>
      </c>
      <c r="L69" s="239">
        <f t="shared" si="22"/>
        <v>150</v>
      </c>
      <c r="M69" s="243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244"/>
      <c r="AG69" s="243"/>
      <c r="AH69" s="244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>
        <v>150</v>
      </c>
      <c r="AU69" s="108"/>
      <c r="AV69" s="108"/>
      <c r="AW69" s="108"/>
      <c r="AX69" s="108"/>
      <c r="AY69" s="108"/>
      <c r="BA69" s="31"/>
      <c r="BB69" s="31"/>
      <c r="BC69" s="28"/>
    </row>
    <row r="70" spans="1:55" s="30" customFormat="1" ht="17.25" customHeight="1" x14ac:dyDescent="0.3">
      <c r="A70" s="135"/>
      <c r="B70" s="28"/>
      <c r="C70" s="204" t="s">
        <v>173</v>
      </c>
      <c r="D70" s="81">
        <f t="shared" ref="D70" si="31">+J70+K70+L70</f>
        <v>900</v>
      </c>
      <c r="E70" s="82">
        <v>0</v>
      </c>
      <c r="F70" s="82">
        <f t="shared" si="1"/>
        <v>900</v>
      </c>
      <c r="G70" s="83">
        <v>0</v>
      </c>
      <c r="H70" s="82">
        <f t="shared" si="20"/>
        <v>900</v>
      </c>
      <c r="I70" s="72" t="s">
        <v>129</v>
      </c>
      <c r="J70" s="105">
        <f t="shared" si="21"/>
        <v>0</v>
      </c>
      <c r="K70" s="106">
        <f t="shared" ref="K70" si="32">SUM(AG70:AH70)</f>
        <v>0</v>
      </c>
      <c r="L70" s="239">
        <f t="shared" si="22"/>
        <v>900</v>
      </c>
      <c r="M70" s="243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244"/>
      <c r="AG70" s="243"/>
      <c r="AH70" s="244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>
        <v>900</v>
      </c>
      <c r="AW70" s="108"/>
      <c r="AX70" s="108"/>
      <c r="AY70" s="108"/>
      <c r="BA70" s="31"/>
      <c r="BB70" s="31"/>
      <c r="BC70" s="28"/>
    </row>
    <row r="71" spans="1:55" s="28" customFormat="1" ht="17.25" customHeight="1" x14ac:dyDescent="0.3">
      <c r="A71" s="135"/>
      <c r="B71" s="28" t="s">
        <v>60</v>
      </c>
      <c r="C71" s="136"/>
      <c r="D71" s="81">
        <f>+J71+K71+L71</f>
        <v>5587</v>
      </c>
      <c r="E71" s="82">
        <v>0</v>
      </c>
      <c r="F71" s="82">
        <f t="shared" si="1"/>
        <v>5587</v>
      </c>
      <c r="G71" s="83">
        <v>5670</v>
      </c>
      <c r="H71" s="82">
        <f t="shared" si="20"/>
        <v>-83</v>
      </c>
      <c r="I71" s="72">
        <f>+D71/G71</f>
        <v>0.98536155202821873</v>
      </c>
      <c r="J71" s="105">
        <f t="shared" si="21"/>
        <v>5587</v>
      </c>
      <c r="K71" s="106">
        <f t="shared" si="24"/>
        <v>0</v>
      </c>
      <c r="L71" s="239">
        <f t="shared" si="22"/>
        <v>0</v>
      </c>
      <c r="M71" s="243"/>
      <c r="N71" s="109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>
        <v>5587</v>
      </c>
      <c r="AC71" s="108"/>
      <c r="AD71" s="108"/>
      <c r="AE71" s="108"/>
      <c r="AF71" s="244"/>
      <c r="AG71" s="243"/>
      <c r="AH71" s="244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30"/>
      <c r="BA71" s="31"/>
      <c r="BB71" s="31"/>
    </row>
    <row r="72" spans="1:55" s="28" customFormat="1" ht="12" customHeight="1" x14ac:dyDescent="0.3">
      <c r="A72" s="135"/>
      <c r="C72" s="136"/>
      <c r="D72" s="81" t="s">
        <v>31</v>
      </c>
      <c r="E72" s="82"/>
      <c r="F72" s="82"/>
      <c r="G72" s="83"/>
      <c r="H72" s="82"/>
      <c r="I72" s="72"/>
      <c r="J72" s="105"/>
      <c r="K72" s="106"/>
      <c r="L72" s="239"/>
      <c r="M72" s="243"/>
      <c r="N72" s="109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244"/>
      <c r="AG72" s="243"/>
      <c r="AH72" s="244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30"/>
      <c r="BA72" s="31"/>
      <c r="BB72" s="31"/>
    </row>
    <row r="73" spans="1:55" s="28" customFormat="1" ht="17.25" customHeight="1" x14ac:dyDescent="0.3">
      <c r="A73" s="135"/>
      <c r="B73" s="28" t="s">
        <v>122</v>
      </c>
      <c r="C73" s="136"/>
      <c r="D73" s="81">
        <v>0</v>
      </c>
      <c r="E73" s="82">
        <v>0</v>
      </c>
      <c r="F73" s="82">
        <f t="shared" si="1"/>
        <v>0</v>
      </c>
      <c r="G73" s="83">
        <v>0</v>
      </c>
      <c r="H73" s="82">
        <f t="shared" si="20"/>
        <v>0</v>
      </c>
      <c r="I73" s="72" t="s">
        <v>129</v>
      </c>
      <c r="J73" s="105">
        <f t="shared" si="21"/>
        <v>0</v>
      </c>
      <c r="K73" s="106">
        <f t="shared" si="24"/>
        <v>60014</v>
      </c>
      <c r="L73" s="239">
        <f t="shared" si="22"/>
        <v>-60014</v>
      </c>
      <c r="M73" s="243"/>
      <c r="N73" s="109" t="s">
        <v>31</v>
      </c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244"/>
      <c r="AG73" s="243"/>
      <c r="AH73" s="292">
        <v>60014</v>
      </c>
      <c r="AI73" s="108" t="s">
        <v>31</v>
      </c>
      <c r="AJ73" s="113">
        <f>-60014-17045</f>
        <v>-77059</v>
      </c>
      <c r="AK73" s="108">
        <v>17045</v>
      </c>
      <c r="AL73" s="108" t="s">
        <v>31</v>
      </c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30"/>
      <c r="BA73" s="31"/>
      <c r="BB73" s="31"/>
    </row>
    <row r="74" spans="1:55" s="28" customFormat="1" ht="12" customHeight="1" x14ac:dyDescent="0.3">
      <c r="A74" s="135"/>
      <c r="C74" s="136"/>
      <c r="D74" s="81"/>
      <c r="E74" s="82"/>
      <c r="F74" s="82"/>
      <c r="G74" s="83" t="s">
        <v>31</v>
      </c>
      <c r="H74" s="82"/>
      <c r="I74" s="72"/>
      <c r="J74" s="105"/>
      <c r="K74" s="106"/>
      <c r="L74" s="239"/>
      <c r="M74" s="243"/>
      <c r="N74" s="109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244"/>
      <c r="AG74" s="243"/>
      <c r="AH74" s="244"/>
      <c r="AI74" s="108"/>
      <c r="AJ74" s="108"/>
      <c r="AK74" s="108"/>
      <c r="AL74" s="108" t="s">
        <v>31</v>
      </c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30"/>
      <c r="BA74" s="31"/>
      <c r="BB74" s="31"/>
    </row>
    <row r="75" spans="1:55" s="28" customFormat="1" ht="17.25" customHeight="1" x14ac:dyDescent="0.3">
      <c r="A75" s="137" t="s">
        <v>163</v>
      </c>
      <c r="B75" s="63"/>
      <c r="C75" s="64"/>
      <c r="D75" s="84">
        <f>SUM(D8:D74)</f>
        <v>3275698.0499999993</v>
      </c>
      <c r="E75" s="85">
        <f>SUM(E8:E74)</f>
        <v>3314128</v>
      </c>
      <c r="F75" s="85">
        <f t="shared" si="1"/>
        <v>-38429.950000000652</v>
      </c>
      <c r="G75" s="86">
        <f>SUM(G8:G74)</f>
        <v>3102817</v>
      </c>
      <c r="H75" s="85">
        <f>SUM(H8:H74)</f>
        <v>172881.05</v>
      </c>
      <c r="I75" s="73">
        <f>+D75/G75</f>
        <v>1.0557174496594544</v>
      </c>
      <c r="J75" s="114">
        <f>SUM(J8:J74)</f>
        <v>2457222.56</v>
      </c>
      <c r="K75" s="115">
        <f>SUM(K8:K74)</f>
        <v>123001</v>
      </c>
      <c r="L75" s="241">
        <f>SUM(L8:L74)</f>
        <v>695474.49000000011</v>
      </c>
      <c r="M75" s="115">
        <f t="shared" ref="M75:AF75" si="33">SUM(M8:M74)</f>
        <v>1982155.82</v>
      </c>
      <c r="N75" s="115">
        <f t="shared" si="33"/>
        <v>0</v>
      </c>
      <c r="O75" s="115">
        <f t="shared" si="33"/>
        <v>59335</v>
      </c>
      <c r="P75" s="115">
        <f t="shared" si="33"/>
        <v>65100</v>
      </c>
      <c r="Q75" s="115">
        <f t="shared" si="33"/>
        <v>34812</v>
      </c>
      <c r="R75" s="115">
        <f t="shared" si="33"/>
        <v>15125</v>
      </c>
      <c r="S75" s="115">
        <f t="shared" si="33"/>
        <v>125</v>
      </c>
      <c r="T75" s="115">
        <f t="shared" si="33"/>
        <v>34000</v>
      </c>
      <c r="U75" s="115">
        <f t="shared" si="33"/>
        <v>60000</v>
      </c>
      <c r="V75" s="115">
        <f t="shared" si="33"/>
        <v>0</v>
      </c>
      <c r="W75" s="115">
        <f t="shared" si="33"/>
        <v>119301.48</v>
      </c>
      <c r="X75" s="115">
        <f t="shared" si="33"/>
        <v>47700</v>
      </c>
      <c r="Y75" s="115">
        <f t="shared" si="33"/>
        <v>0</v>
      </c>
      <c r="Z75" s="115">
        <f t="shared" si="33"/>
        <v>9350</v>
      </c>
      <c r="AA75" s="115">
        <f t="shared" si="33"/>
        <v>24631.260000000002</v>
      </c>
      <c r="AB75" s="115">
        <f t="shared" si="33"/>
        <v>5587</v>
      </c>
      <c r="AC75" s="115">
        <f t="shared" si="33"/>
        <v>0</v>
      </c>
      <c r="AD75" s="115">
        <f t="shared" si="33"/>
        <v>0</v>
      </c>
      <c r="AE75" s="115">
        <f t="shared" si="33"/>
        <v>0</v>
      </c>
      <c r="AF75" s="241">
        <f t="shared" si="33"/>
        <v>0</v>
      </c>
      <c r="AG75" s="115">
        <f>SUM(AG8:AG74)</f>
        <v>18630</v>
      </c>
      <c r="AH75" s="241">
        <f>SUM(AH8:AH74)</f>
        <v>104371</v>
      </c>
      <c r="AI75" s="115">
        <f t="shared" ref="AI75:AY75" si="34">SUM(AI8:AI74)</f>
        <v>262300</v>
      </c>
      <c r="AJ75" s="115">
        <f t="shared" si="34"/>
        <v>23500.800000000003</v>
      </c>
      <c r="AK75" s="115">
        <f t="shared" si="34"/>
        <v>24445</v>
      </c>
      <c r="AL75" s="115">
        <f t="shared" si="34"/>
        <v>0</v>
      </c>
      <c r="AM75" s="115">
        <f t="shared" si="34"/>
        <v>186963.99</v>
      </c>
      <c r="AN75" s="115">
        <f t="shared" si="34"/>
        <v>500</v>
      </c>
      <c r="AO75" s="115">
        <f t="shared" si="34"/>
        <v>22705.57</v>
      </c>
      <c r="AP75" s="115">
        <f t="shared" si="34"/>
        <v>18140.78</v>
      </c>
      <c r="AQ75" s="115">
        <f t="shared" si="34"/>
        <v>75000</v>
      </c>
      <c r="AR75" s="115">
        <f t="shared" si="34"/>
        <v>0</v>
      </c>
      <c r="AS75" s="115">
        <f t="shared" si="34"/>
        <v>35473.29</v>
      </c>
      <c r="AT75" s="115">
        <f t="shared" si="34"/>
        <v>150</v>
      </c>
      <c r="AU75" s="115">
        <f t="shared" si="34"/>
        <v>0</v>
      </c>
      <c r="AV75" s="115">
        <f t="shared" si="34"/>
        <v>986.56999999999994</v>
      </c>
      <c r="AW75" s="115">
        <f t="shared" si="34"/>
        <v>3000</v>
      </c>
      <c r="AX75" s="115">
        <f t="shared" si="34"/>
        <v>6909.99</v>
      </c>
      <c r="AY75" s="115">
        <f t="shared" si="34"/>
        <v>35398.5</v>
      </c>
      <c r="AZ75" s="30"/>
      <c r="BA75" s="31"/>
      <c r="BB75" s="31"/>
    </row>
    <row r="76" spans="1:55" s="28" customFormat="1" ht="22.95" customHeight="1" x14ac:dyDescent="0.3">
      <c r="A76" s="196" t="s">
        <v>61</v>
      </c>
      <c r="C76" s="136"/>
      <c r="D76" s="81"/>
      <c r="E76" s="82"/>
      <c r="F76" s="82"/>
      <c r="G76" s="83" t="s">
        <v>31</v>
      </c>
      <c r="H76" s="82"/>
      <c r="I76" s="72"/>
      <c r="J76" s="105"/>
      <c r="K76" s="106"/>
      <c r="L76" s="239"/>
      <c r="M76" s="243"/>
      <c r="N76" s="109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244"/>
      <c r="AG76" s="243"/>
      <c r="AH76" s="244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30"/>
      <c r="BA76" s="31"/>
      <c r="BB76" s="31"/>
    </row>
    <row r="77" spans="1:55" s="24" customFormat="1" ht="17.25" customHeight="1" x14ac:dyDescent="0.3">
      <c r="A77" s="197"/>
      <c r="B77" s="28" t="s">
        <v>217</v>
      </c>
      <c r="C77" s="136"/>
      <c r="D77" s="81">
        <f t="shared" ref="D77:D85" si="35">+J77+K77+L77</f>
        <v>54214</v>
      </c>
      <c r="E77" s="82">
        <v>11118</v>
      </c>
      <c r="F77" s="82">
        <f t="shared" ref="F77:F140" si="36">D77-E77</f>
        <v>43096</v>
      </c>
      <c r="G77" s="83">
        <v>1770</v>
      </c>
      <c r="H77" s="82">
        <f t="shared" ref="H77:H85" si="37">+D77-G77</f>
        <v>52444</v>
      </c>
      <c r="I77" s="72">
        <f>+D77/G77</f>
        <v>30.629378531073446</v>
      </c>
      <c r="J77" s="105">
        <f t="shared" ref="J77:J85" si="38">SUM(M77:AF77)</f>
        <v>0</v>
      </c>
      <c r="K77" s="106">
        <f t="shared" ref="K77:K85" si="39">SUM(AG77:AH77)</f>
        <v>0</v>
      </c>
      <c r="L77" s="239">
        <f t="shared" ref="L77:L85" si="40">SUM(AI77:AY77)</f>
        <v>54214</v>
      </c>
      <c r="M77" s="287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284"/>
      <c r="AG77" s="287"/>
      <c r="AH77" s="284"/>
      <c r="AI77" s="104"/>
      <c r="AJ77" s="104">
        <v>42976</v>
      </c>
      <c r="AK77" s="104">
        <v>11238</v>
      </c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33"/>
      <c r="BA77" s="34"/>
      <c r="BB77" s="34"/>
      <c r="BC77" s="35"/>
    </row>
    <row r="78" spans="1:55" s="24" customFormat="1" ht="17.25" customHeight="1" x14ac:dyDescent="0.3">
      <c r="A78" s="197"/>
      <c r="B78" s="28" t="s">
        <v>215</v>
      </c>
      <c r="C78" s="136"/>
      <c r="D78" s="81">
        <f t="shared" si="35"/>
        <v>10005</v>
      </c>
      <c r="E78" s="82">
        <v>473042</v>
      </c>
      <c r="F78" s="82">
        <f t="shared" si="36"/>
        <v>-463037</v>
      </c>
      <c r="G78" s="83">
        <v>63331</v>
      </c>
      <c r="H78" s="82">
        <f t="shared" si="37"/>
        <v>-53326</v>
      </c>
      <c r="I78" s="72">
        <f>+D78/G78</f>
        <v>0.15797950450806084</v>
      </c>
      <c r="J78" s="105">
        <f t="shared" si="38"/>
        <v>0</v>
      </c>
      <c r="K78" s="106">
        <f t="shared" si="39"/>
        <v>0</v>
      </c>
      <c r="L78" s="239">
        <f t="shared" si="40"/>
        <v>10005</v>
      </c>
      <c r="M78" s="287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284"/>
      <c r="AG78" s="287"/>
      <c r="AH78" s="284"/>
      <c r="AI78" s="104">
        <v>10005</v>
      </c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33"/>
      <c r="BA78" s="34"/>
      <c r="BB78" s="34"/>
      <c r="BC78" s="35"/>
    </row>
    <row r="79" spans="1:55" s="24" customFormat="1" ht="17.25" customHeight="1" x14ac:dyDescent="0.3">
      <c r="A79" s="197"/>
      <c r="B79" s="28" t="s">
        <v>214</v>
      </c>
      <c r="C79" s="136"/>
      <c r="D79" s="81">
        <f t="shared" si="35"/>
        <v>3542</v>
      </c>
      <c r="E79" s="82">
        <v>0</v>
      </c>
      <c r="F79" s="82">
        <f t="shared" si="36"/>
        <v>3542</v>
      </c>
      <c r="G79" s="83">
        <v>1700</v>
      </c>
      <c r="H79" s="82">
        <f t="shared" si="37"/>
        <v>1842</v>
      </c>
      <c r="I79" s="72">
        <f>+D79/G79</f>
        <v>2.0835294117647059</v>
      </c>
      <c r="J79" s="105">
        <f t="shared" si="38"/>
        <v>0</v>
      </c>
      <c r="K79" s="106">
        <f t="shared" si="39"/>
        <v>0</v>
      </c>
      <c r="L79" s="239">
        <f t="shared" si="40"/>
        <v>3542</v>
      </c>
      <c r="M79" s="287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284"/>
      <c r="AG79" s="287"/>
      <c r="AH79" s="28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>
        <v>3542</v>
      </c>
      <c r="AV79" s="104"/>
      <c r="AW79" s="104"/>
      <c r="AX79" s="104"/>
      <c r="AY79" s="104"/>
      <c r="AZ79" s="33"/>
      <c r="BA79" s="34"/>
      <c r="BB79" s="34"/>
      <c r="BC79" s="35"/>
    </row>
    <row r="80" spans="1:55" s="24" customFormat="1" ht="17.25" customHeight="1" x14ac:dyDescent="0.3">
      <c r="A80" s="197"/>
      <c r="B80" s="28" t="s">
        <v>213</v>
      </c>
      <c r="C80" s="136"/>
      <c r="D80" s="81">
        <f t="shared" si="35"/>
        <v>1000</v>
      </c>
      <c r="E80" s="82">
        <v>0</v>
      </c>
      <c r="F80" s="82">
        <f t="shared" si="36"/>
        <v>1000</v>
      </c>
      <c r="G80" s="83">
        <v>0</v>
      </c>
      <c r="H80" s="82">
        <f t="shared" si="37"/>
        <v>1000</v>
      </c>
      <c r="I80" s="72" t="s">
        <v>129</v>
      </c>
      <c r="J80" s="105">
        <f t="shared" si="38"/>
        <v>0</v>
      </c>
      <c r="K80" s="106">
        <f t="shared" si="39"/>
        <v>1000</v>
      </c>
      <c r="L80" s="239">
        <f t="shared" si="40"/>
        <v>0</v>
      </c>
      <c r="M80" s="287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284"/>
      <c r="AG80" s="287">
        <v>1000</v>
      </c>
      <c r="AH80" s="28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33"/>
      <c r="BA80" s="34"/>
      <c r="BB80" s="34"/>
      <c r="BC80" s="35"/>
    </row>
    <row r="81" spans="1:55" s="24" customFormat="1" ht="17.25" customHeight="1" x14ac:dyDescent="0.3">
      <c r="A81" s="197"/>
      <c r="B81" s="28" t="s">
        <v>153</v>
      </c>
      <c r="C81" s="136"/>
      <c r="D81" s="81">
        <f t="shared" si="35"/>
        <v>0</v>
      </c>
      <c r="E81" s="82">
        <v>0</v>
      </c>
      <c r="F81" s="82">
        <f t="shared" si="36"/>
        <v>0</v>
      </c>
      <c r="G81" s="83">
        <v>0</v>
      </c>
      <c r="H81" s="82">
        <f t="shared" si="37"/>
        <v>0</v>
      </c>
      <c r="I81" s="72" t="s">
        <v>129</v>
      </c>
      <c r="J81" s="105">
        <f t="shared" si="38"/>
        <v>0</v>
      </c>
      <c r="K81" s="106">
        <f t="shared" si="39"/>
        <v>0</v>
      </c>
      <c r="L81" s="239">
        <f t="shared" si="40"/>
        <v>0</v>
      </c>
      <c r="M81" s="287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284"/>
      <c r="AG81" s="287"/>
      <c r="AH81" s="28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33"/>
      <c r="BA81" s="34"/>
      <c r="BB81" s="34"/>
      <c r="BC81" s="35"/>
    </row>
    <row r="82" spans="1:55" s="24" customFormat="1" ht="17.25" customHeight="1" x14ac:dyDescent="0.3">
      <c r="A82" s="197"/>
      <c r="B82" s="28" t="s">
        <v>211</v>
      </c>
      <c r="C82" s="136"/>
      <c r="D82" s="81">
        <f t="shared" si="35"/>
        <v>24963</v>
      </c>
      <c r="E82" s="82">
        <v>5268</v>
      </c>
      <c r="F82" s="82">
        <f t="shared" si="36"/>
        <v>19695</v>
      </c>
      <c r="G82" s="83">
        <v>0</v>
      </c>
      <c r="H82" s="82">
        <f t="shared" si="37"/>
        <v>24963</v>
      </c>
      <c r="I82" s="72" t="s">
        <v>129</v>
      </c>
      <c r="J82" s="105">
        <f t="shared" si="38"/>
        <v>0</v>
      </c>
      <c r="K82" s="106">
        <f t="shared" si="39"/>
        <v>0</v>
      </c>
      <c r="L82" s="239">
        <f t="shared" si="40"/>
        <v>24963</v>
      </c>
      <c r="M82" s="287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284"/>
      <c r="AG82" s="287"/>
      <c r="AH82" s="28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>
        <v>5000</v>
      </c>
      <c r="AS82" s="104">
        <v>19963</v>
      </c>
      <c r="AT82" s="104"/>
      <c r="AU82" s="104"/>
      <c r="AV82" s="104"/>
      <c r="AW82" s="104"/>
      <c r="AX82" s="104"/>
      <c r="AY82" s="104"/>
      <c r="AZ82" s="33"/>
      <c r="BA82" s="34"/>
      <c r="BB82" s="34"/>
      <c r="BC82" s="35"/>
    </row>
    <row r="83" spans="1:55" s="24" customFormat="1" ht="17.25" customHeight="1" x14ac:dyDescent="0.3">
      <c r="A83" s="197"/>
      <c r="B83" s="28" t="s">
        <v>255</v>
      </c>
      <c r="C83" s="136"/>
      <c r="D83" s="81">
        <v>0</v>
      </c>
      <c r="E83" s="82">
        <v>24323</v>
      </c>
      <c r="F83" s="82">
        <f t="shared" ref="F83" si="41">D83-E83</f>
        <v>-24323</v>
      </c>
      <c r="G83" s="83">
        <v>0</v>
      </c>
      <c r="H83" s="82">
        <f t="shared" ref="H83" si="42">+D83-G83</f>
        <v>0</v>
      </c>
      <c r="I83" s="72" t="s">
        <v>129</v>
      </c>
      <c r="J83" s="105">
        <v>0</v>
      </c>
      <c r="K83" s="106">
        <v>0</v>
      </c>
      <c r="L83" s="239">
        <v>0</v>
      </c>
      <c r="M83" s="287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284"/>
      <c r="AG83" s="287"/>
      <c r="AH83" s="28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33"/>
      <c r="BA83" s="34"/>
      <c r="BB83" s="34"/>
      <c r="BC83" s="35"/>
    </row>
    <row r="84" spans="1:55" s="24" customFormat="1" ht="17.25" customHeight="1" x14ac:dyDescent="0.3">
      <c r="A84" s="197"/>
      <c r="B84" s="28" t="s">
        <v>212</v>
      </c>
      <c r="C84" s="136"/>
      <c r="D84" s="81">
        <f t="shared" ref="D84" si="43">+J84+K84+L84</f>
        <v>4014</v>
      </c>
      <c r="E84" s="82">
        <v>0</v>
      </c>
      <c r="F84" s="82">
        <f t="shared" si="36"/>
        <v>4014</v>
      </c>
      <c r="G84" s="83">
        <v>0</v>
      </c>
      <c r="H84" s="82">
        <f t="shared" si="37"/>
        <v>4014</v>
      </c>
      <c r="I84" s="72" t="s">
        <v>129</v>
      </c>
      <c r="J84" s="105">
        <f t="shared" ref="J84" si="44">SUM(M84:AF84)</f>
        <v>0</v>
      </c>
      <c r="K84" s="106">
        <f t="shared" ref="K84" si="45">SUM(AG84:AH84)</f>
        <v>0</v>
      </c>
      <c r="L84" s="239">
        <f t="shared" si="40"/>
        <v>4014</v>
      </c>
      <c r="M84" s="287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284"/>
      <c r="AG84" s="287"/>
      <c r="AH84" s="28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>
        <v>4014</v>
      </c>
      <c r="AW84" s="104"/>
      <c r="AX84" s="104"/>
      <c r="AY84" s="104"/>
      <c r="AZ84" s="33"/>
      <c r="BA84" s="34"/>
      <c r="BB84" s="34"/>
      <c r="BC84" s="35"/>
    </row>
    <row r="85" spans="1:55" s="24" customFormat="1" ht="17.25" customHeight="1" x14ac:dyDescent="0.3">
      <c r="A85" s="197"/>
      <c r="B85" s="28" t="s">
        <v>124</v>
      </c>
      <c r="C85" s="136"/>
      <c r="D85" s="81">
        <f t="shared" si="35"/>
        <v>0</v>
      </c>
      <c r="E85" s="82">
        <v>0</v>
      </c>
      <c r="F85" s="82">
        <f t="shared" si="36"/>
        <v>0</v>
      </c>
      <c r="G85" s="83">
        <v>499</v>
      </c>
      <c r="H85" s="82">
        <f t="shared" si="37"/>
        <v>-499</v>
      </c>
      <c r="I85" s="72">
        <f>+D85/G85</f>
        <v>0</v>
      </c>
      <c r="J85" s="105">
        <f t="shared" si="38"/>
        <v>0</v>
      </c>
      <c r="K85" s="106">
        <f t="shared" si="39"/>
        <v>0</v>
      </c>
      <c r="L85" s="239">
        <f t="shared" si="40"/>
        <v>0</v>
      </c>
      <c r="M85" s="287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284"/>
      <c r="AG85" s="287"/>
      <c r="AH85" s="28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33"/>
      <c r="BA85" s="34"/>
      <c r="BB85" s="34"/>
      <c r="BC85" s="35"/>
    </row>
    <row r="86" spans="1:55" s="28" customFormat="1" ht="12" customHeight="1" x14ac:dyDescent="0.3">
      <c r="A86" s="135"/>
      <c r="C86" s="136"/>
      <c r="D86" s="81"/>
      <c r="E86" s="82"/>
      <c r="F86" s="82"/>
      <c r="G86" s="83"/>
      <c r="H86" s="82"/>
      <c r="I86" s="72"/>
      <c r="J86" s="105"/>
      <c r="K86" s="106"/>
      <c r="L86" s="239"/>
      <c r="M86" s="243"/>
      <c r="N86" s="109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244"/>
      <c r="AG86" s="243"/>
      <c r="AH86" s="244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30"/>
      <c r="BA86" s="31"/>
      <c r="BB86" s="31"/>
    </row>
    <row r="87" spans="1:55" s="28" customFormat="1" ht="17.25" customHeight="1" x14ac:dyDescent="0.3">
      <c r="A87" s="135" t="s">
        <v>120</v>
      </c>
      <c r="C87" s="136"/>
      <c r="D87" s="81"/>
      <c r="E87" s="82"/>
      <c r="F87" s="82"/>
      <c r="G87" s="83"/>
      <c r="H87" s="82"/>
      <c r="I87" s="72"/>
      <c r="J87" s="105"/>
      <c r="K87" s="106"/>
      <c r="L87" s="239"/>
      <c r="M87" s="243"/>
      <c r="N87" s="109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244"/>
      <c r="AG87" s="243"/>
      <c r="AH87" s="244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30"/>
      <c r="BA87" s="31"/>
      <c r="BB87" s="31"/>
    </row>
    <row r="88" spans="1:55" s="40" customFormat="1" ht="14.4" x14ac:dyDescent="0.3">
      <c r="A88" s="198" t="s">
        <v>31</v>
      </c>
      <c r="B88" s="28" t="s">
        <v>62</v>
      </c>
      <c r="C88" s="136"/>
      <c r="D88" s="81">
        <f t="shared" ref="D88:D90" si="46">+J88+K88+L88</f>
        <v>73185</v>
      </c>
      <c r="E88" s="82">
        <v>0</v>
      </c>
      <c r="F88" s="82">
        <f t="shared" si="36"/>
        <v>73185</v>
      </c>
      <c r="G88" s="83">
        <v>73185</v>
      </c>
      <c r="H88" s="82">
        <f>+D88-G88</f>
        <v>0</v>
      </c>
      <c r="I88" s="72">
        <f>+D88/G88</f>
        <v>1</v>
      </c>
      <c r="J88" s="105">
        <f>SUM(M88:AF88)</f>
        <v>73185</v>
      </c>
      <c r="K88" s="106">
        <f t="shared" ref="K88:K90" si="47">SUM(AG88:AH88)</f>
        <v>0</v>
      </c>
      <c r="L88" s="239">
        <f>SUM(AI88:AY88)</f>
        <v>0</v>
      </c>
      <c r="M88" s="243">
        <v>73185</v>
      </c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278"/>
      <c r="AG88" s="288" t="s">
        <v>31</v>
      </c>
      <c r="AH88" s="278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37"/>
      <c r="BA88" s="39"/>
      <c r="BB88" s="39"/>
    </row>
    <row r="89" spans="1:55" s="40" customFormat="1" ht="14.4" x14ac:dyDescent="0.3">
      <c r="A89" s="198"/>
      <c r="B89" s="28" t="s">
        <v>125</v>
      </c>
      <c r="C89" s="136"/>
      <c r="D89" s="81">
        <f t="shared" si="46"/>
        <v>230605</v>
      </c>
      <c r="E89" s="82">
        <v>0</v>
      </c>
      <c r="F89" s="82">
        <f t="shared" si="36"/>
        <v>230605</v>
      </c>
      <c r="G89" s="83">
        <v>230605</v>
      </c>
      <c r="H89" s="82">
        <f>+D89-G89</f>
        <v>0</v>
      </c>
      <c r="I89" s="72">
        <f>+D89/G89</f>
        <v>1</v>
      </c>
      <c r="J89" s="105">
        <f>SUM(M89:AF89)</f>
        <v>230605</v>
      </c>
      <c r="K89" s="106">
        <f t="shared" si="47"/>
        <v>0</v>
      </c>
      <c r="L89" s="239">
        <f>SUM(AI89:AY89)</f>
        <v>0</v>
      </c>
      <c r="M89" s="243">
        <v>230605</v>
      </c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278"/>
      <c r="AG89" s="288"/>
      <c r="AH89" s="278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37"/>
      <c r="BA89" s="39"/>
      <c r="BB89" s="39"/>
    </row>
    <row r="90" spans="1:55" s="40" customFormat="1" ht="14.4" x14ac:dyDescent="0.3">
      <c r="A90" s="198" t="s">
        <v>31</v>
      </c>
      <c r="B90" s="28" t="s">
        <v>63</v>
      </c>
      <c r="C90" s="136"/>
      <c r="D90" s="81">
        <f t="shared" si="46"/>
        <v>101073</v>
      </c>
      <c r="E90" s="82">
        <v>567643</v>
      </c>
      <c r="F90" s="82">
        <f t="shared" si="36"/>
        <v>-466570</v>
      </c>
      <c r="G90" s="83">
        <v>147393</v>
      </c>
      <c r="H90" s="82">
        <f>+D90-G90</f>
        <v>-46320</v>
      </c>
      <c r="I90" s="72">
        <f>+D90/G90</f>
        <v>0.68573812867639572</v>
      </c>
      <c r="J90" s="105">
        <f>SUM(M90:AF90)</f>
        <v>101073</v>
      </c>
      <c r="K90" s="106">
        <f t="shared" si="47"/>
        <v>0</v>
      </c>
      <c r="L90" s="239">
        <f>SUM(AI90:AY90)</f>
        <v>0</v>
      </c>
      <c r="M90" s="243">
        <f>81073+20000</f>
        <v>101073</v>
      </c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278"/>
      <c r="AG90" s="288"/>
      <c r="AH90" s="278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37"/>
      <c r="BA90" s="39"/>
      <c r="BB90" s="39"/>
    </row>
    <row r="91" spans="1:55" s="28" customFormat="1" ht="12" customHeight="1" x14ac:dyDescent="0.3">
      <c r="A91" s="135"/>
      <c r="C91" s="136"/>
      <c r="D91" s="81" t="s">
        <v>31</v>
      </c>
      <c r="E91" s="82"/>
      <c r="F91" s="82"/>
      <c r="G91" s="83"/>
      <c r="H91" s="82"/>
      <c r="I91" s="72"/>
      <c r="J91" s="105"/>
      <c r="K91" s="106"/>
      <c r="L91" s="239"/>
      <c r="M91" s="243"/>
      <c r="N91" s="109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244"/>
      <c r="AG91" s="243"/>
      <c r="AH91" s="244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30"/>
      <c r="BA91" s="31"/>
      <c r="BB91" s="31"/>
    </row>
    <row r="92" spans="1:55" s="40" customFormat="1" ht="16.95" customHeight="1" x14ac:dyDescent="0.3">
      <c r="A92" s="138" t="s">
        <v>239</v>
      </c>
      <c r="B92" s="65"/>
      <c r="C92" s="139"/>
      <c r="D92" s="84">
        <f>SUM(D75:D91)</f>
        <v>3778299.0499999993</v>
      </c>
      <c r="E92" s="88">
        <f>SUM(E75:E91)</f>
        <v>4395522</v>
      </c>
      <c r="F92" s="89">
        <f t="shared" si="36"/>
        <v>-617222.95000000065</v>
      </c>
      <c r="G92" s="86">
        <f>SUM(G75:G91)</f>
        <v>3621300</v>
      </c>
      <c r="H92" s="88">
        <f>SUM(H75:H91)</f>
        <v>156999.04999999999</v>
      </c>
      <c r="I92" s="74">
        <f>D92/G92</f>
        <v>1.0433543340789218</v>
      </c>
      <c r="J92" s="117">
        <f t="shared" ref="J92:AL92" si="48">SUM(J75:J91)</f>
        <v>2862085.56</v>
      </c>
      <c r="K92" s="118">
        <f t="shared" si="48"/>
        <v>124001</v>
      </c>
      <c r="L92" s="119">
        <f t="shared" si="48"/>
        <v>792212.49000000011</v>
      </c>
      <c r="M92" s="118">
        <f t="shared" si="48"/>
        <v>2387018.8200000003</v>
      </c>
      <c r="N92" s="118">
        <f t="shared" si="48"/>
        <v>0</v>
      </c>
      <c r="O92" s="118">
        <f t="shared" si="48"/>
        <v>59335</v>
      </c>
      <c r="P92" s="118">
        <f t="shared" si="48"/>
        <v>65100</v>
      </c>
      <c r="Q92" s="118">
        <f t="shared" si="48"/>
        <v>34812</v>
      </c>
      <c r="R92" s="118">
        <f t="shared" si="48"/>
        <v>15125</v>
      </c>
      <c r="S92" s="118">
        <f t="shared" si="48"/>
        <v>125</v>
      </c>
      <c r="T92" s="118">
        <f t="shared" si="48"/>
        <v>34000</v>
      </c>
      <c r="U92" s="118">
        <f t="shared" si="48"/>
        <v>60000</v>
      </c>
      <c r="V92" s="118">
        <f t="shared" si="48"/>
        <v>0</v>
      </c>
      <c r="W92" s="118">
        <f t="shared" si="48"/>
        <v>119301.48</v>
      </c>
      <c r="X92" s="118">
        <f t="shared" si="48"/>
        <v>47700</v>
      </c>
      <c r="Y92" s="118">
        <f t="shared" si="48"/>
        <v>0</v>
      </c>
      <c r="Z92" s="118">
        <f t="shared" si="48"/>
        <v>9350</v>
      </c>
      <c r="AA92" s="118">
        <f t="shared" si="48"/>
        <v>24631.260000000002</v>
      </c>
      <c r="AB92" s="118">
        <f t="shared" si="48"/>
        <v>5587</v>
      </c>
      <c r="AC92" s="118">
        <f t="shared" si="48"/>
        <v>0</v>
      </c>
      <c r="AD92" s="118">
        <f t="shared" si="48"/>
        <v>0</v>
      </c>
      <c r="AE92" s="118">
        <f t="shared" si="48"/>
        <v>0</v>
      </c>
      <c r="AF92" s="276">
        <f t="shared" si="48"/>
        <v>0</v>
      </c>
      <c r="AG92" s="118">
        <f t="shared" si="48"/>
        <v>19630</v>
      </c>
      <c r="AH92" s="276">
        <f t="shared" si="48"/>
        <v>104371</v>
      </c>
      <c r="AI92" s="118">
        <f t="shared" si="48"/>
        <v>272305</v>
      </c>
      <c r="AJ92" s="118">
        <f t="shared" si="48"/>
        <v>66476.800000000003</v>
      </c>
      <c r="AK92" s="118">
        <f t="shared" si="48"/>
        <v>35683</v>
      </c>
      <c r="AL92" s="118">
        <f t="shared" si="48"/>
        <v>0</v>
      </c>
      <c r="AM92" s="118"/>
      <c r="AN92" s="118">
        <f t="shared" ref="AN92:AY92" si="49">SUM(AN75:AN91)</f>
        <v>500</v>
      </c>
      <c r="AO92" s="118">
        <f t="shared" si="49"/>
        <v>22705.57</v>
      </c>
      <c r="AP92" s="118">
        <f t="shared" si="49"/>
        <v>18140.78</v>
      </c>
      <c r="AQ92" s="118">
        <f t="shared" si="49"/>
        <v>75000</v>
      </c>
      <c r="AR92" s="118">
        <f t="shared" si="49"/>
        <v>5000</v>
      </c>
      <c r="AS92" s="118">
        <f t="shared" si="49"/>
        <v>55436.29</v>
      </c>
      <c r="AT92" s="118">
        <f t="shared" si="49"/>
        <v>150</v>
      </c>
      <c r="AU92" s="118">
        <f t="shared" si="49"/>
        <v>3542</v>
      </c>
      <c r="AV92" s="118">
        <f t="shared" si="49"/>
        <v>5000.57</v>
      </c>
      <c r="AW92" s="118">
        <f t="shared" si="49"/>
        <v>3000</v>
      </c>
      <c r="AX92" s="118">
        <f t="shared" si="49"/>
        <v>6909.99</v>
      </c>
      <c r="AY92" s="118">
        <f t="shared" si="49"/>
        <v>35398.5</v>
      </c>
      <c r="AZ92" s="37"/>
      <c r="BA92" s="39"/>
      <c r="BB92" s="39"/>
    </row>
    <row r="93" spans="1:55" s="42" customFormat="1" ht="14.4" hidden="1" x14ac:dyDescent="0.3">
      <c r="A93" s="135"/>
      <c r="B93" s="28"/>
      <c r="C93" s="136"/>
      <c r="D93" s="87"/>
      <c r="E93" s="90">
        <f>1813079.23+367.37+4200</f>
        <v>1817646.6</v>
      </c>
      <c r="F93" s="82">
        <f t="shared" si="36"/>
        <v>-1817646.6</v>
      </c>
      <c r="G93" s="91">
        <v>3621300</v>
      </c>
      <c r="H93" s="90"/>
      <c r="I93" s="72"/>
      <c r="J93" s="120"/>
      <c r="K93" s="121"/>
      <c r="L93" s="277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286"/>
      <c r="AG93" s="122"/>
      <c r="AH93" s="286"/>
      <c r="AI93" s="122"/>
      <c r="AJ93" s="122"/>
      <c r="AK93" s="122"/>
      <c r="AL93" s="122"/>
      <c r="AM93" s="122"/>
      <c r="AN93" s="122"/>
      <c r="AO93" s="122"/>
      <c r="AP93" s="122"/>
      <c r="AQ93" s="123"/>
      <c r="AR93" s="123"/>
      <c r="AS93" s="123"/>
      <c r="AT93" s="123"/>
      <c r="AU93" s="123"/>
      <c r="AV93" s="123"/>
      <c r="AW93" s="123"/>
      <c r="AX93" s="123"/>
      <c r="AY93" s="123"/>
      <c r="AZ93" s="38"/>
      <c r="BA93" s="41"/>
      <c r="BB93" s="41"/>
    </row>
    <row r="94" spans="1:55" s="42" customFormat="1" ht="14.4" hidden="1" x14ac:dyDescent="0.3">
      <c r="A94" s="135"/>
      <c r="B94" s="28"/>
      <c r="C94" s="136"/>
      <c r="D94" s="87"/>
      <c r="E94" s="90">
        <f t="shared" ref="E94" si="50">+E93-E92</f>
        <v>-2577875.4</v>
      </c>
      <c r="F94" s="82">
        <f t="shared" si="36"/>
        <v>2577875.4</v>
      </c>
      <c r="G94" s="91">
        <f>+G93-G92</f>
        <v>0</v>
      </c>
      <c r="H94" s="90"/>
      <c r="I94" s="72"/>
      <c r="J94" s="120"/>
      <c r="K94" s="121"/>
      <c r="L94" s="277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286"/>
      <c r="AG94" s="122"/>
      <c r="AH94" s="286"/>
      <c r="AI94" s="122"/>
      <c r="AJ94" s="122"/>
      <c r="AK94" s="122"/>
      <c r="AL94" s="122"/>
      <c r="AM94" s="122"/>
      <c r="AN94" s="122"/>
      <c r="AO94" s="122"/>
      <c r="AP94" s="122"/>
      <c r="AQ94" s="123"/>
      <c r="AR94" s="123"/>
      <c r="AS94" s="123"/>
      <c r="AT94" s="123"/>
      <c r="AU94" s="123"/>
      <c r="AV94" s="123"/>
      <c r="AW94" s="123"/>
      <c r="AX94" s="123"/>
      <c r="AY94" s="123"/>
      <c r="AZ94" s="38"/>
      <c r="BA94" s="41"/>
      <c r="BB94" s="41"/>
    </row>
    <row r="95" spans="1:55" s="40" customFormat="1" ht="16.95" customHeight="1" x14ac:dyDescent="0.3">
      <c r="A95" s="135"/>
      <c r="B95" s="28"/>
      <c r="C95" s="136"/>
      <c r="D95" s="92"/>
      <c r="E95" s="28"/>
      <c r="F95" s="212"/>
      <c r="G95" s="94"/>
      <c r="H95" s="93"/>
      <c r="I95" s="75"/>
      <c r="J95" s="124"/>
      <c r="K95" s="116"/>
      <c r="L95" s="278"/>
      <c r="M95" s="288" t="s">
        <v>31</v>
      </c>
      <c r="N95" s="116" t="s">
        <v>31</v>
      </c>
      <c r="O95" s="116" t="s">
        <v>31</v>
      </c>
      <c r="P95" s="116" t="s">
        <v>31</v>
      </c>
      <c r="Q95" s="116" t="s">
        <v>31</v>
      </c>
      <c r="R95" s="116" t="s">
        <v>31</v>
      </c>
      <c r="S95" s="116" t="s">
        <v>31</v>
      </c>
      <c r="T95" s="116" t="s">
        <v>31</v>
      </c>
      <c r="U95" s="116" t="s">
        <v>31</v>
      </c>
      <c r="V95" s="116" t="s">
        <v>31</v>
      </c>
      <c r="W95" s="116" t="s">
        <v>31</v>
      </c>
      <c r="X95" s="116" t="s">
        <v>31</v>
      </c>
      <c r="Y95" s="116" t="s">
        <v>31</v>
      </c>
      <c r="Z95" s="116" t="s">
        <v>31</v>
      </c>
      <c r="AA95" s="116" t="s">
        <v>31</v>
      </c>
      <c r="AB95" s="116" t="s">
        <v>31</v>
      </c>
      <c r="AC95" s="116" t="s">
        <v>31</v>
      </c>
      <c r="AD95" s="116" t="s">
        <v>31</v>
      </c>
      <c r="AE95" s="116" t="s">
        <v>31</v>
      </c>
      <c r="AF95" s="278" t="s">
        <v>31</v>
      </c>
      <c r="AG95" s="288" t="s">
        <v>31</v>
      </c>
      <c r="AH95" s="278" t="s">
        <v>31</v>
      </c>
      <c r="AI95" s="116" t="s">
        <v>31</v>
      </c>
      <c r="AJ95" s="116"/>
      <c r="AK95" s="116"/>
      <c r="AL95" s="116"/>
      <c r="AM95" s="116"/>
      <c r="AN95" s="116"/>
      <c r="AO95" s="116"/>
      <c r="AP95" s="116" t="s">
        <v>31</v>
      </c>
      <c r="AQ95" s="116"/>
      <c r="AR95" s="116"/>
      <c r="AS95" s="116"/>
      <c r="AT95" s="116"/>
      <c r="AU95" s="116"/>
      <c r="AV95" s="116"/>
      <c r="AW95" s="116"/>
      <c r="AX95" s="116"/>
      <c r="AY95" s="116"/>
      <c r="AZ95" s="37"/>
      <c r="BA95" s="39"/>
      <c r="BB95" s="39"/>
    </row>
    <row r="96" spans="1:55" s="28" customFormat="1" ht="15" customHeight="1" x14ac:dyDescent="0.3">
      <c r="A96" s="218" t="s">
        <v>64</v>
      </c>
      <c r="B96" s="219"/>
      <c r="C96" s="220"/>
      <c r="D96" s="81"/>
      <c r="E96" s="82"/>
      <c r="F96" s="82"/>
      <c r="G96" s="83"/>
      <c r="H96" s="82"/>
      <c r="I96" s="72"/>
      <c r="J96" s="107"/>
      <c r="K96" s="108"/>
      <c r="L96" s="244"/>
      <c r="M96" s="243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244"/>
      <c r="AG96" s="243"/>
      <c r="AH96" s="244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30"/>
      <c r="BA96" s="31"/>
      <c r="BB96" s="31"/>
    </row>
    <row r="97" spans="1:55" s="28" customFormat="1" ht="14.4" x14ac:dyDescent="0.3">
      <c r="A97" s="135" t="s">
        <v>65</v>
      </c>
      <c r="C97" s="136"/>
      <c r="D97" s="81"/>
      <c r="E97" s="82"/>
      <c r="F97" s="82"/>
      <c r="G97" s="83"/>
      <c r="H97" s="82"/>
      <c r="I97" s="72"/>
      <c r="J97" s="107"/>
      <c r="K97" s="108"/>
      <c r="L97" s="244"/>
      <c r="M97" s="243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244"/>
      <c r="AG97" s="243"/>
      <c r="AH97" s="244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30"/>
      <c r="BA97" s="31"/>
      <c r="BB97" s="31"/>
    </row>
    <row r="98" spans="1:55" s="28" customFormat="1" ht="14.4" x14ac:dyDescent="0.3">
      <c r="A98" s="135"/>
      <c r="B98" s="28" t="s">
        <v>126</v>
      </c>
      <c r="C98" s="136"/>
      <c r="D98" s="81">
        <f t="shared" ref="D98:D104" si="51">+J98+K98+L98</f>
        <v>950862.77</v>
      </c>
      <c r="E98" s="82">
        <v>980077</v>
      </c>
      <c r="F98" s="82">
        <f t="shared" si="36"/>
        <v>-29214.229999999981</v>
      </c>
      <c r="G98" s="83">
        <v>997500</v>
      </c>
      <c r="H98" s="82">
        <f t="shared" ref="H98:H104" si="52">+G98-D98</f>
        <v>46637.229999999981</v>
      </c>
      <c r="I98" s="72">
        <f>+D98/G98</f>
        <v>0.95324588471177951</v>
      </c>
      <c r="J98" s="105">
        <f t="shared" ref="J98:J104" si="53">SUM(M98:AF98)</f>
        <v>950862.77</v>
      </c>
      <c r="K98" s="106">
        <f t="shared" ref="K98:K103" si="54">SUM(AG98:AH98)</f>
        <v>0</v>
      </c>
      <c r="L98" s="239">
        <f t="shared" ref="L98:L104" si="55">SUM(AI98:AY98)</f>
        <v>0</v>
      </c>
      <c r="M98" s="243">
        <v>950862.77</v>
      </c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244"/>
      <c r="AG98" s="243"/>
      <c r="AH98" s="244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30"/>
      <c r="BA98" s="31"/>
      <c r="BB98" s="31"/>
    </row>
    <row r="99" spans="1:55" s="28" customFormat="1" ht="14.4" x14ac:dyDescent="0.3">
      <c r="A99" s="135"/>
      <c r="B99" s="28" t="s">
        <v>182</v>
      </c>
      <c r="C99" s="136"/>
      <c r="D99" s="81">
        <f t="shared" ref="D99" si="56">+J99+K99+L99</f>
        <v>-48162.49</v>
      </c>
      <c r="E99" s="82">
        <v>0</v>
      </c>
      <c r="F99" s="82">
        <f t="shared" si="36"/>
        <v>-48162.49</v>
      </c>
      <c r="G99" s="83">
        <v>0</v>
      </c>
      <c r="H99" s="82">
        <f t="shared" si="52"/>
        <v>48162.49</v>
      </c>
      <c r="I99" s="72" t="s">
        <v>129</v>
      </c>
      <c r="J99" s="105">
        <f t="shared" si="53"/>
        <v>-48162.49</v>
      </c>
      <c r="K99" s="106">
        <f t="shared" ref="K99" si="57">SUM(AG99:AH99)</f>
        <v>0</v>
      </c>
      <c r="L99" s="239">
        <f t="shared" si="55"/>
        <v>0</v>
      </c>
      <c r="M99" s="243">
        <v>-48162.49</v>
      </c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244"/>
      <c r="AG99" s="243"/>
      <c r="AH99" s="244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30"/>
      <c r="BA99" s="31"/>
      <c r="BB99" s="31"/>
    </row>
    <row r="100" spans="1:55" s="28" customFormat="1" ht="14.4" x14ac:dyDescent="0.3">
      <c r="A100" s="135"/>
      <c r="B100" s="28" t="s">
        <v>66</v>
      </c>
      <c r="C100" s="136"/>
      <c r="D100" s="81">
        <f t="shared" si="51"/>
        <v>108871.97</v>
      </c>
      <c r="E100" s="82">
        <v>102804</v>
      </c>
      <c r="F100" s="82">
        <f t="shared" si="36"/>
        <v>6067.9700000000012</v>
      </c>
      <c r="G100" s="83">
        <v>100000</v>
      </c>
      <c r="H100" s="82">
        <f t="shared" si="52"/>
        <v>-8871.9700000000012</v>
      </c>
      <c r="I100" s="72">
        <f>+D100/G100</f>
        <v>1.0887197</v>
      </c>
      <c r="J100" s="105">
        <f t="shared" si="53"/>
        <v>108871.97</v>
      </c>
      <c r="K100" s="106">
        <f t="shared" si="54"/>
        <v>0</v>
      </c>
      <c r="L100" s="239">
        <f t="shared" si="55"/>
        <v>0</v>
      </c>
      <c r="M100" s="243">
        <v>108871.97</v>
      </c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244"/>
      <c r="AG100" s="243"/>
      <c r="AH100" s="244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30"/>
      <c r="BA100" s="31"/>
      <c r="BB100" s="31"/>
    </row>
    <row r="101" spans="1:55" s="28" customFormat="1" ht="14.4" x14ac:dyDescent="0.3">
      <c r="A101" s="135"/>
      <c r="B101" s="28" t="s">
        <v>67</v>
      </c>
      <c r="C101" s="136"/>
      <c r="D101" s="81">
        <f t="shared" si="51"/>
        <v>34830.21</v>
      </c>
      <c r="E101" s="82">
        <v>28637</v>
      </c>
      <c r="F101" s="82">
        <f t="shared" si="36"/>
        <v>6193.2099999999991</v>
      </c>
      <c r="G101" s="83">
        <v>34000</v>
      </c>
      <c r="H101" s="82">
        <f t="shared" si="52"/>
        <v>-830.20999999999913</v>
      </c>
      <c r="I101" s="72">
        <f>+D101/G101</f>
        <v>1.0244179411764707</v>
      </c>
      <c r="J101" s="105">
        <f t="shared" si="53"/>
        <v>34830.21</v>
      </c>
      <c r="K101" s="106">
        <f t="shared" si="54"/>
        <v>0</v>
      </c>
      <c r="L101" s="239">
        <f t="shared" si="55"/>
        <v>0</v>
      </c>
      <c r="M101" s="243">
        <f>5977.55+28852.66</f>
        <v>34830.21</v>
      </c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244"/>
      <c r="AG101" s="243"/>
      <c r="AH101" s="244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30"/>
      <c r="BA101" s="31"/>
      <c r="BB101" s="31"/>
    </row>
    <row r="102" spans="1:55" s="28" customFormat="1" ht="14.4" x14ac:dyDescent="0.3">
      <c r="A102" s="135"/>
      <c r="B102" s="28" t="s">
        <v>68</v>
      </c>
      <c r="C102" s="136"/>
      <c r="D102" s="81">
        <f t="shared" si="51"/>
        <v>20029.47</v>
      </c>
      <c r="E102" s="82">
        <v>20926</v>
      </c>
      <c r="F102" s="82">
        <f t="shared" si="36"/>
        <v>-896.52999999999884</v>
      </c>
      <c r="G102" s="83">
        <v>25500</v>
      </c>
      <c r="H102" s="82">
        <f t="shared" si="52"/>
        <v>5470.5299999999988</v>
      </c>
      <c r="I102" s="72">
        <f>+D102/G102</f>
        <v>0.78546941176470597</v>
      </c>
      <c r="J102" s="105">
        <f t="shared" si="53"/>
        <v>20029.47</v>
      </c>
      <c r="K102" s="106">
        <f t="shared" si="54"/>
        <v>0</v>
      </c>
      <c r="L102" s="239">
        <f t="shared" si="55"/>
        <v>0</v>
      </c>
      <c r="M102" s="243">
        <v>20029.47</v>
      </c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244"/>
      <c r="AG102" s="243"/>
      <c r="AH102" s="244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30"/>
      <c r="BA102" s="31"/>
      <c r="BB102" s="31"/>
    </row>
    <row r="103" spans="1:55" s="28" customFormat="1" ht="14.4" x14ac:dyDescent="0.3">
      <c r="A103" s="135"/>
      <c r="B103" s="28" t="s">
        <v>69</v>
      </c>
      <c r="C103" s="136"/>
      <c r="D103" s="81">
        <f t="shared" si="51"/>
        <v>18352.8</v>
      </c>
      <c r="E103" s="82">
        <v>20231</v>
      </c>
      <c r="F103" s="82">
        <f t="shared" si="36"/>
        <v>-1878.2000000000007</v>
      </c>
      <c r="G103" s="83">
        <v>15000</v>
      </c>
      <c r="H103" s="82">
        <f t="shared" si="52"/>
        <v>-3352.7999999999993</v>
      </c>
      <c r="I103" s="72">
        <f>+D103/G103</f>
        <v>1.2235199999999999</v>
      </c>
      <c r="J103" s="105">
        <f t="shared" si="53"/>
        <v>11168.8</v>
      </c>
      <c r="K103" s="106">
        <f t="shared" si="54"/>
        <v>7184</v>
      </c>
      <c r="L103" s="239">
        <f t="shared" si="55"/>
        <v>0</v>
      </c>
      <c r="M103" s="243" t="s">
        <v>31</v>
      </c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>
        <v>11168.8</v>
      </c>
      <c r="AB103" s="108"/>
      <c r="AC103" s="108"/>
      <c r="AD103" s="108"/>
      <c r="AE103" s="108"/>
      <c r="AF103" s="244"/>
      <c r="AG103" s="243">
        <f>61644.84-54460.84</f>
        <v>7184</v>
      </c>
      <c r="AH103" s="244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30"/>
      <c r="BA103" s="31"/>
      <c r="BB103" s="31"/>
    </row>
    <row r="104" spans="1:55" s="28" customFormat="1" ht="14.4" x14ac:dyDescent="0.3">
      <c r="A104" s="135"/>
      <c r="B104" s="28" t="s">
        <v>184</v>
      </c>
      <c r="C104" s="136"/>
      <c r="D104" s="81">
        <f t="shared" si="51"/>
        <v>54460.84</v>
      </c>
      <c r="E104" s="82">
        <v>0</v>
      </c>
      <c r="F104" s="82">
        <f t="shared" si="36"/>
        <v>54460.84</v>
      </c>
      <c r="G104" s="83">
        <v>0</v>
      </c>
      <c r="H104" s="82">
        <f t="shared" si="52"/>
        <v>-54460.84</v>
      </c>
      <c r="I104" s="72" t="s">
        <v>129</v>
      </c>
      <c r="J104" s="105">
        <f t="shared" si="53"/>
        <v>0</v>
      </c>
      <c r="K104" s="106">
        <f t="shared" ref="K104" si="58">SUM(AG104:AH104)</f>
        <v>54460.84</v>
      </c>
      <c r="L104" s="239">
        <f t="shared" si="55"/>
        <v>0</v>
      </c>
      <c r="M104" s="243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244"/>
      <c r="AG104" s="243">
        <v>54460.84</v>
      </c>
      <c r="AH104" s="244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30"/>
      <c r="BA104" s="31"/>
      <c r="BB104" s="31"/>
    </row>
    <row r="105" spans="1:55" s="28" customFormat="1" ht="12" customHeight="1" x14ac:dyDescent="0.3">
      <c r="A105" s="135"/>
      <c r="C105" s="136"/>
      <c r="D105" s="81" t="s">
        <v>31</v>
      </c>
      <c r="E105" s="82"/>
      <c r="F105" s="82"/>
      <c r="G105" s="83"/>
      <c r="H105" s="82"/>
      <c r="I105" s="72"/>
      <c r="J105" s="107"/>
      <c r="K105" s="108"/>
      <c r="L105" s="244"/>
      <c r="M105" s="243" t="s">
        <v>31</v>
      </c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244"/>
      <c r="AG105" s="243"/>
      <c r="AH105" s="244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30"/>
      <c r="BA105" s="31"/>
      <c r="BB105" s="31"/>
    </row>
    <row r="106" spans="1:55" s="28" customFormat="1" ht="14.4" x14ac:dyDescent="0.3">
      <c r="A106" s="135" t="s">
        <v>70</v>
      </c>
      <c r="C106" s="136"/>
      <c r="D106" s="81" t="s">
        <v>31</v>
      </c>
      <c r="E106" s="82"/>
      <c r="F106" s="82"/>
      <c r="G106" s="83"/>
      <c r="H106" s="82"/>
      <c r="I106" s="72"/>
      <c r="J106" s="107"/>
      <c r="K106" s="108"/>
      <c r="L106" s="244"/>
      <c r="M106" s="243" t="s">
        <v>31</v>
      </c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244"/>
      <c r="AG106" s="243"/>
      <c r="AH106" s="244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30"/>
      <c r="BA106" s="31"/>
      <c r="BB106" s="31"/>
    </row>
    <row r="107" spans="1:55" s="30" customFormat="1" ht="14.4" x14ac:dyDescent="0.3">
      <c r="A107" s="135"/>
      <c r="B107" s="28" t="s">
        <v>71</v>
      </c>
      <c r="C107" s="136"/>
      <c r="D107" s="81">
        <f t="shared" ref="D107:D110" si="59">+J107+K107+L107</f>
        <v>730656.33999999985</v>
      </c>
      <c r="E107" s="82">
        <v>810995</v>
      </c>
      <c r="F107" s="82">
        <f t="shared" si="36"/>
        <v>-80338.660000000149</v>
      </c>
      <c r="G107" s="83">
        <v>736755</v>
      </c>
      <c r="H107" s="82">
        <f>+G107-D107</f>
        <v>6098.660000000149</v>
      </c>
      <c r="I107" s="72">
        <f>+D107/G107</f>
        <v>0.99172226859675172</v>
      </c>
      <c r="J107" s="105">
        <f>SUM(M107:AF107)</f>
        <v>634164.45999999985</v>
      </c>
      <c r="K107" s="106">
        <f t="shared" ref="K107:K110" si="60">SUM(AG107:AH107)</f>
        <v>64233.919999999998</v>
      </c>
      <c r="L107" s="239">
        <f>SUM(AI107:AY107)</f>
        <v>32257.96</v>
      </c>
      <c r="M107" s="243" t="s">
        <v>31</v>
      </c>
      <c r="N107" s="108"/>
      <c r="O107" s="108">
        <f>66360-660</f>
        <v>65700</v>
      </c>
      <c r="P107" s="108">
        <f>67141.92-660</f>
        <v>66481.919999999998</v>
      </c>
      <c r="Q107" s="108"/>
      <c r="R107" s="108">
        <f>58650.27-660</f>
        <v>57990.27</v>
      </c>
      <c r="S107" s="108">
        <f>116530.01-660</f>
        <v>115870.01</v>
      </c>
      <c r="T107" s="108" t="s">
        <v>31</v>
      </c>
      <c r="U107" s="108"/>
      <c r="V107" s="108">
        <f>38288.04-330</f>
        <v>37958.04</v>
      </c>
      <c r="W107" s="108"/>
      <c r="X107" s="108"/>
      <c r="Y107" s="108"/>
      <c r="Z107" s="108"/>
      <c r="AA107" s="108">
        <v>8846.0499999999993</v>
      </c>
      <c r="AB107" s="108">
        <v>41940.43</v>
      </c>
      <c r="AC107" s="108">
        <f>144463.87-660-660</f>
        <v>143143.87</v>
      </c>
      <c r="AD107" s="108">
        <f>77302.5-172.64-990</f>
        <v>76139.86</v>
      </c>
      <c r="AE107" s="108">
        <v>20094.009999999998</v>
      </c>
      <c r="AF107" s="244"/>
      <c r="AG107" s="243"/>
      <c r="AH107" s="244">
        <f>64893.92-660</f>
        <v>64233.919999999998</v>
      </c>
      <c r="AI107" s="108">
        <v>32257.96</v>
      </c>
      <c r="AJ107" s="108" t="s">
        <v>31</v>
      </c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BA107" s="31"/>
      <c r="BB107" s="31"/>
      <c r="BC107" s="28"/>
    </row>
    <row r="108" spans="1:55" s="30" customFormat="1" ht="14.4" x14ac:dyDescent="0.3">
      <c r="A108" s="135"/>
      <c r="B108" s="28" t="s">
        <v>73</v>
      </c>
      <c r="C108" s="136"/>
      <c r="D108" s="81">
        <f>+J108+K108+L108</f>
        <v>228470.86999999997</v>
      </c>
      <c r="E108" s="82">
        <v>238929</v>
      </c>
      <c r="F108" s="82">
        <f t="shared" si="36"/>
        <v>-10458.130000000034</v>
      </c>
      <c r="G108" s="83">
        <v>244572</v>
      </c>
      <c r="H108" s="82">
        <f>+G108-D108</f>
        <v>16101.130000000034</v>
      </c>
      <c r="I108" s="72">
        <f>+D108/G108</f>
        <v>0.93416609423809749</v>
      </c>
      <c r="J108" s="105">
        <f>SUM(M108:AF108)</f>
        <v>218876.61</v>
      </c>
      <c r="K108" s="106">
        <f>SUM(AG108:AH108)</f>
        <v>9128.24</v>
      </c>
      <c r="L108" s="239">
        <f>SUM(AI108:AY108)</f>
        <v>466.02</v>
      </c>
      <c r="M108" s="243" t="s">
        <v>31</v>
      </c>
      <c r="N108" s="108"/>
      <c r="O108" s="108">
        <f>5375.11+17443.86</f>
        <v>22818.97</v>
      </c>
      <c r="P108" s="108">
        <f>5068.24+22426.48</f>
        <v>27494.720000000001</v>
      </c>
      <c r="Q108" s="108"/>
      <c r="R108" s="108">
        <f>1064.08+30564.62</f>
        <v>31628.699999999997</v>
      </c>
      <c r="S108" s="108">
        <f>8861.83+11417.01</f>
        <v>20278.84</v>
      </c>
      <c r="T108" s="108" t="s">
        <v>31</v>
      </c>
      <c r="U108" s="108"/>
      <c r="V108" s="108">
        <f>225.42+10410.59</f>
        <v>10636.01</v>
      </c>
      <c r="W108" s="108"/>
      <c r="X108" s="108"/>
      <c r="Y108" s="108"/>
      <c r="Z108" s="108"/>
      <c r="AA108" s="108">
        <f>482.94+5273.07</f>
        <v>5756.0099999999993</v>
      </c>
      <c r="AB108" s="108">
        <f>726.36+5744.92+2388.09</f>
        <v>8859.369999999999</v>
      </c>
      <c r="AC108" s="108">
        <f>3402.5+47635.36</f>
        <v>51037.86</v>
      </c>
      <c r="AD108" s="108">
        <f>5869.35+30647.54</f>
        <v>36516.89</v>
      </c>
      <c r="AE108" s="108">
        <f>726.06+3123.18</f>
        <v>3849.24</v>
      </c>
      <c r="AF108" s="244"/>
      <c r="AG108" s="243"/>
      <c r="AH108" s="244">
        <f>7812.44+1315.8</f>
        <v>9128.24</v>
      </c>
      <c r="AI108" s="108">
        <f>444+22.02</f>
        <v>466.02</v>
      </c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BA108" s="31"/>
      <c r="BB108" s="31"/>
      <c r="BC108" s="28"/>
    </row>
    <row r="109" spans="1:55" s="30" customFormat="1" ht="14.4" x14ac:dyDescent="0.3">
      <c r="A109" s="135" t="s">
        <v>31</v>
      </c>
      <c r="B109" s="28" t="s">
        <v>72</v>
      </c>
      <c r="C109" s="136"/>
      <c r="D109" s="81">
        <f t="shared" si="59"/>
        <v>164101.03999999998</v>
      </c>
      <c r="E109" s="82">
        <v>215245</v>
      </c>
      <c r="F109" s="82">
        <f t="shared" si="36"/>
        <v>-51143.960000000021</v>
      </c>
      <c r="G109" s="83">
        <v>168898</v>
      </c>
      <c r="H109" s="82">
        <f>+G109-D109</f>
        <v>4796.960000000021</v>
      </c>
      <c r="I109" s="72">
        <f>+D109/G109</f>
        <v>0.97159847955570811</v>
      </c>
      <c r="J109" s="105">
        <f>SUM(M109:AF109)</f>
        <v>136457.03999999998</v>
      </c>
      <c r="K109" s="106">
        <f t="shared" si="60"/>
        <v>20144</v>
      </c>
      <c r="L109" s="239">
        <f>SUM(AI109:AY109)</f>
        <v>7500</v>
      </c>
      <c r="M109" s="243" t="s">
        <v>31</v>
      </c>
      <c r="N109" s="108"/>
      <c r="O109" s="108"/>
      <c r="P109" s="108"/>
      <c r="Q109" s="108" t="s">
        <v>174</v>
      </c>
      <c r="R109" s="108" t="s">
        <v>174</v>
      </c>
      <c r="S109" s="108"/>
      <c r="T109" s="108"/>
      <c r="U109" s="108">
        <v>68000.039999999994</v>
      </c>
      <c r="V109" s="108" t="s">
        <v>31</v>
      </c>
      <c r="W109" s="108"/>
      <c r="X109" s="108"/>
      <c r="Y109" s="108">
        <v>10000</v>
      </c>
      <c r="Z109" s="108"/>
      <c r="AA109" s="108"/>
      <c r="AB109" s="108">
        <f>52870+5587</f>
        <v>58457</v>
      </c>
      <c r="AC109" s="108"/>
      <c r="AD109" s="108" t="s">
        <v>31</v>
      </c>
      <c r="AE109" s="108"/>
      <c r="AF109" s="244"/>
      <c r="AG109" s="243"/>
      <c r="AH109" s="244">
        <v>20144</v>
      </c>
      <c r="AI109" s="108"/>
      <c r="AJ109" s="108"/>
      <c r="AK109" s="108">
        <v>7500</v>
      </c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BA109" s="31"/>
      <c r="BB109" s="31"/>
      <c r="BC109" s="28"/>
    </row>
    <row r="110" spans="1:55" s="30" customFormat="1" ht="14.4" x14ac:dyDescent="0.3">
      <c r="A110" s="135"/>
      <c r="B110" s="28" t="s">
        <v>74</v>
      </c>
      <c r="C110" s="136"/>
      <c r="D110" s="81">
        <f t="shared" si="59"/>
        <v>5940</v>
      </c>
      <c r="E110" s="82">
        <v>17061</v>
      </c>
      <c r="F110" s="82">
        <f t="shared" si="36"/>
        <v>-11121</v>
      </c>
      <c r="G110" s="83">
        <v>5974</v>
      </c>
      <c r="H110" s="82">
        <f>+G110-D110</f>
        <v>34</v>
      </c>
      <c r="I110" s="72">
        <f>+D110/G110</f>
        <v>0.99430867090726482</v>
      </c>
      <c r="J110" s="105">
        <f>SUM(M110:AF110)</f>
        <v>5280</v>
      </c>
      <c r="K110" s="106">
        <f t="shared" si="60"/>
        <v>660</v>
      </c>
      <c r="L110" s="239">
        <f>SUM(AI110:AY110)</f>
        <v>0</v>
      </c>
      <c r="M110" s="243" t="s">
        <v>31</v>
      </c>
      <c r="N110" s="108"/>
      <c r="O110" s="108">
        <v>660</v>
      </c>
      <c r="P110" s="108">
        <v>660</v>
      </c>
      <c r="Q110" s="108"/>
      <c r="R110" s="108">
        <v>660</v>
      </c>
      <c r="S110" s="108">
        <v>660</v>
      </c>
      <c r="T110" s="108"/>
      <c r="U110" s="108"/>
      <c r="V110" s="108">
        <v>330</v>
      </c>
      <c r="W110" s="108"/>
      <c r="X110" s="108"/>
      <c r="Y110" s="108"/>
      <c r="Z110" s="108"/>
      <c r="AA110" s="108"/>
      <c r="AB110" s="108"/>
      <c r="AC110" s="108">
        <f>660+660</f>
        <v>1320</v>
      </c>
      <c r="AD110" s="108">
        <f>330+660</f>
        <v>990</v>
      </c>
      <c r="AE110" s="108"/>
      <c r="AF110" s="244"/>
      <c r="AG110" s="243"/>
      <c r="AH110" s="244">
        <v>660</v>
      </c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BA110" s="31"/>
      <c r="BB110" s="31"/>
      <c r="BC110" s="28"/>
    </row>
    <row r="111" spans="1:55" s="30" customFormat="1" ht="12" customHeight="1" x14ac:dyDescent="0.3">
      <c r="A111" s="135"/>
      <c r="B111" s="28"/>
      <c r="C111" s="136"/>
      <c r="D111" s="81" t="s">
        <v>31</v>
      </c>
      <c r="E111" s="82"/>
      <c r="F111" s="82"/>
      <c r="G111" s="83" t="s">
        <v>31</v>
      </c>
      <c r="H111" s="82"/>
      <c r="I111" s="72"/>
      <c r="J111" s="107"/>
      <c r="K111" s="108"/>
      <c r="L111" s="244"/>
      <c r="M111" s="243" t="s">
        <v>31</v>
      </c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244"/>
      <c r="AG111" s="243"/>
      <c r="AH111" s="244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BA111" s="31"/>
      <c r="BB111" s="31"/>
      <c r="BC111" s="28"/>
    </row>
    <row r="112" spans="1:55" s="30" customFormat="1" ht="14.4" x14ac:dyDescent="0.3">
      <c r="A112" s="135" t="s">
        <v>75</v>
      </c>
      <c r="B112" s="28"/>
      <c r="C112" s="136"/>
      <c r="D112" s="81" t="s">
        <v>31</v>
      </c>
      <c r="E112" s="82"/>
      <c r="F112" s="82"/>
      <c r="G112" s="83"/>
      <c r="H112" s="82"/>
      <c r="I112" s="72"/>
      <c r="J112" s="107"/>
      <c r="K112" s="108"/>
      <c r="L112" s="244"/>
      <c r="M112" s="243" t="s">
        <v>31</v>
      </c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244"/>
      <c r="AG112" s="243"/>
      <c r="AH112" s="244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BA112" s="31"/>
      <c r="BB112" s="31"/>
      <c r="BC112" s="28"/>
    </row>
    <row r="113" spans="1:55" s="30" customFormat="1" ht="14.4" x14ac:dyDescent="0.3">
      <c r="A113" s="135"/>
      <c r="B113" s="28" t="s">
        <v>156</v>
      </c>
      <c r="C113" s="136"/>
      <c r="D113" s="81">
        <f>+J113+K113+L113</f>
        <v>45000</v>
      </c>
      <c r="E113" s="82">
        <v>0</v>
      </c>
      <c r="F113" s="82">
        <f t="shared" si="36"/>
        <v>45000</v>
      </c>
      <c r="G113" s="83">
        <v>45000</v>
      </c>
      <c r="H113" s="82">
        <f t="shared" ref="H113:H124" si="61">+G113-D113</f>
        <v>0</v>
      </c>
      <c r="I113" s="72">
        <f t="shared" ref="I113:I118" si="62">+D113/G113</f>
        <v>1</v>
      </c>
      <c r="J113" s="105">
        <f t="shared" ref="J113:J124" si="63">SUM(M113:AF113)</f>
        <v>0</v>
      </c>
      <c r="K113" s="106">
        <f>SUM(AG113:AH113)</f>
        <v>0</v>
      </c>
      <c r="L113" s="239">
        <f t="shared" ref="L113:L124" si="64">SUM(AI113:AY113)</f>
        <v>45000</v>
      </c>
      <c r="M113" s="243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244"/>
      <c r="AG113" s="243"/>
      <c r="AH113" s="244"/>
      <c r="AI113" s="108">
        <v>45000</v>
      </c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BA113" s="31"/>
      <c r="BB113" s="31"/>
      <c r="BC113" s="28"/>
    </row>
    <row r="114" spans="1:55" s="30" customFormat="1" ht="14.4" x14ac:dyDescent="0.3">
      <c r="A114" s="135"/>
      <c r="B114" s="28" t="s">
        <v>76</v>
      </c>
      <c r="C114" s="136"/>
      <c r="D114" s="81">
        <f t="shared" ref="D114:D124" si="65">+J114+K114+L114</f>
        <v>18500</v>
      </c>
      <c r="E114" s="82">
        <v>16500</v>
      </c>
      <c r="F114" s="82">
        <f t="shared" si="36"/>
        <v>2000</v>
      </c>
      <c r="G114" s="83">
        <v>18000</v>
      </c>
      <c r="H114" s="82">
        <f t="shared" si="61"/>
        <v>-500</v>
      </c>
      <c r="I114" s="72">
        <f t="shared" si="62"/>
        <v>1.0277777777777777</v>
      </c>
      <c r="J114" s="105">
        <f t="shared" si="63"/>
        <v>18500</v>
      </c>
      <c r="K114" s="106">
        <f t="shared" ref="K114:K124" si="66">SUM(AG114:AH114)</f>
        <v>0</v>
      </c>
      <c r="L114" s="239">
        <f t="shared" si="64"/>
        <v>0</v>
      </c>
      <c r="M114" s="243" t="s">
        <v>31</v>
      </c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>
        <v>18500</v>
      </c>
      <c r="AE114" s="108"/>
      <c r="AF114" s="244"/>
      <c r="AG114" s="243"/>
      <c r="AH114" s="244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BA114" s="31"/>
      <c r="BB114" s="31"/>
      <c r="BC114" s="28"/>
    </row>
    <row r="115" spans="1:55" s="28" customFormat="1" ht="14.4" x14ac:dyDescent="0.3">
      <c r="A115" s="135"/>
      <c r="B115" s="28" t="s">
        <v>77</v>
      </c>
      <c r="C115" s="136"/>
      <c r="D115" s="81">
        <f t="shared" ref="D115" si="67">+J115+K115+L115</f>
        <v>13544.250000000002</v>
      </c>
      <c r="E115" s="82">
        <v>14242</v>
      </c>
      <c r="F115" s="82">
        <f t="shared" si="36"/>
        <v>-697.74999999999818</v>
      </c>
      <c r="G115" s="83">
        <v>18076</v>
      </c>
      <c r="H115" s="82">
        <f t="shared" si="61"/>
        <v>4531.7499999999982</v>
      </c>
      <c r="I115" s="72">
        <f t="shared" si="62"/>
        <v>0.74929464483292774</v>
      </c>
      <c r="J115" s="105">
        <f t="shared" si="63"/>
        <v>12809.140000000001</v>
      </c>
      <c r="K115" s="106">
        <f>SUM(AG115:AH115)</f>
        <v>173.51</v>
      </c>
      <c r="L115" s="239">
        <f t="shared" si="64"/>
        <v>561.6</v>
      </c>
      <c r="M115" s="243" t="s">
        <v>31</v>
      </c>
      <c r="N115" s="108"/>
      <c r="O115" s="108">
        <v>194</v>
      </c>
      <c r="P115" s="108">
        <v>217.6</v>
      </c>
      <c r="Q115" s="108"/>
      <c r="R115" s="108"/>
      <c r="S115" s="108">
        <v>32.54</v>
      </c>
      <c r="T115" s="108"/>
      <c r="U115" s="108"/>
      <c r="V115" s="108">
        <v>343.8</v>
      </c>
      <c r="W115" s="108"/>
      <c r="X115" s="108"/>
      <c r="Y115" s="108">
        <v>500</v>
      </c>
      <c r="Z115" s="108"/>
      <c r="AA115" s="108"/>
      <c r="AB115" s="108"/>
      <c r="AC115" s="108">
        <f>246.76+19.99</f>
        <v>266.75</v>
      </c>
      <c r="AD115" s="108">
        <v>9280.61</v>
      </c>
      <c r="AE115" s="108">
        <v>1973.84</v>
      </c>
      <c r="AF115" s="244"/>
      <c r="AG115" s="243"/>
      <c r="AH115" s="244">
        <v>173.51</v>
      </c>
      <c r="AI115" s="108"/>
      <c r="AJ115" s="108"/>
      <c r="AK115" s="108">
        <v>561.6</v>
      </c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30"/>
      <c r="BA115" s="31"/>
      <c r="BB115" s="31"/>
    </row>
    <row r="116" spans="1:55" s="30" customFormat="1" ht="14.4" x14ac:dyDescent="0.3">
      <c r="A116" s="135"/>
      <c r="B116" s="28" t="s">
        <v>190</v>
      </c>
      <c r="C116" s="136"/>
      <c r="D116" s="81">
        <f>+J116+K116+L116</f>
        <v>10520.390000000001</v>
      </c>
      <c r="E116" s="82">
        <v>9862</v>
      </c>
      <c r="F116" s="82">
        <f t="shared" si="36"/>
        <v>658.39000000000124</v>
      </c>
      <c r="G116" s="83">
        <v>18376</v>
      </c>
      <c r="H116" s="82">
        <f t="shared" si="61"/>
        <v>7855.6099999999988</v>
      </c>
      <c r="I116" s="72">
        <f t="shared" si="62"/>
        <v>0.57250707444492821</v>
      </c>
      <c r="J116" s="105">
        <f t="shared" si="63"/>
        <v>10442.19</v>
      </c>
      <c r="K116" s="106">
        <f>SUM(AG116:AH116)</f>
        <v>78.2</v>
      </c>
      <c r="L116" s="239">
        <f t="shared" si="64"/>
        <v>0</v>
      </c>
      <c r="M116" s="243" t="s">
        <v>31</v>
      </c>
      <c r="N116" s="108"/>
      <c r="O116" s="108"/>
      <c r="P116" s="108"/>
      <c r="Q116" s="108"/>
      <c r="R116" s="108">
        <v>9973</v>
      </c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>
        <v>469.19</v>
      </c>
      <c r="AC116" s="108" t="s">
        <v>31</v>
      </c>
      <c r="AD116" s="108" t="s">
        <v>31</v>
      </c>
      <c r="AE116" s="108"/>
      <c r="AF116" s="244" t="s">
        <v>31</v>
      </c>
      <c r="AG116" s="243"/>
      <c r="AH116" s="244">
        <v>78.2</v>
      </c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BA116" s="31"/>
      <c r="BB116" s="31"/>
      <c r="BC116" s="28"/>
    </row>
    <row r="117" spans="1:55" s="30" customFormat="1" ht="14.4" x14ac:dyDescent="0.3">
      <c r="A117" s="135"/>
      <c r="B117" s="28" t="s">
        <v>183</v>
      </c>
      <c r="C117" s="136"/>
      <c r="D117" s="81">
        <f t="shared" ref="D117" si="68">+J117+K117+L117</f>
        <v>6986.5</v>
      </c>
      <c r="E117" s="82">
        <v>5840</v>
      </c>
      <c r="F117" s="82">
        <f t="shared" si="36"/>
        <v>1146.5</v>
      </c>
      <c r="G117" s="83">
        <v>8100</v>
      </c>
      <c r="H117" s="82">
        <f t="shared" si="61"/>
        <v>1113.5</v>
      </c>
      <c r="I117" s="72">
        <f t="shared" si="62"/>
        <v>0.86253086419753089</v>
      </c>
      <c r="J117" s="105">
        <f t="shared" si="63"/>
        <v>5836.5</v>
      </c>
      <c r="K117" s="106">
        <f t="shared" ref="K117" si="69">SUM(AG117:AH117)</f>
        <v>1150</v>
      </c>
      <c r="L117" s="239">
        <f t="shared" si="64"/>
        <v>0</v>
      </c>
      <c r="M117" s="243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>
        <v>649</v>
      </c>
      <c r="AC117" s="108">
        <v>5187.5</v>
      </c>
      <c r="AD117" s="108"/>
      <c r="AE117" s="108"/>
      <c r="AF117" s="244"/>
      <c r="AG117" s="243">
        <v>1150</v>
      </c>
      <c r="AH117" s="244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BA117" s="31"/>
      <c r="BB117" s="31"/>
      <c r="BC117" s="28"/>
    </row>
    <row r="118" spans="1:55" s="30" customFormat="1" ht="14.4" x14ac:dyDescent="0.3">
      <c r="A118" s="135"/>
      <c r="B118" s="28" t="s">
        <v>127</v>
      </c>
      <c r="C118" s="136"/>
      <c r="D118" s="81">
        <f>+J118+K118+L118</f>
        <v>3928.5</v>
      </c>
      <c r="E118" s="82">
        <f>14917-9862</f>
        <v>5055</v>
      </c>
      <c r="F118" s="82">
        <f t="shared" si="36"/>
        <v>-1126.5</v>
      </c>
      <c r="G118" s="83">
        <v>5390</v>
      </c>
      <c r="H118" s="82">
        <f t="shared" si="61"/>
        <v>1461.5</v>
      </c>
      <c r="I118" s="72">
        <f t="shared" si="62"/>
        <v>0.72884972170686457</v>
      </c>
      <c r="J118" s="105">
        <f t="shared" si="63"/>
        <v>3928.5</v>
      </c>
      <c r="K118" s="106">
        <f t="shared" ref="K118:K123" si="70">SUM(AG118:AH118)</f>
        <v>0</v>
      </c>
      <c r="L118" s="239">
        <f t="shared" si="64"/>
        <v>0</v>
      </c>
      <c r="M118" s="243"/>
      <c r="N118" s="108"/>
      <c r="O118" s="108"/>
      <c r="P118" s="108"/>
      <c r="Q118" s="108"/>
      <c r="R118" s="108">
        <v>2884.5</v>
      </c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>
        <v>360</v>
      </c>
      <c r="AC118" s="108">
        <v>324</v>
      </c>
      <c r="AD118" s="108"/>
      <c r="AE118" s="108"/>
      <c r="AF118" s="244">
        <v>360</v>
      </c>
      <c r="AG118" s="243"/>
      <c r="AH118" s="244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BA118" s="31"/>
      <c r="BB118" s="31"/>
      <c r="BC118" s="28"/>
    </row>
    <row r="119" spans="1:55" s="30" customFormat="1" ht="14.4" x14ac:dyDescent="0.3">
      <c r="A119" s="135"/>
      <c r="B119" s="28" t="s">
        <v>206</v>
      </c>
      <c r="C119" s="136"/>
      <c r="D119" s="81">
        <f>+J119+K119+L119</f>
        <v>3750</v>
      </c>
      <c r="E119" s="82">
        <v>0</v>
      </c>
      <c r="F119" s="82">
        <f t="shared" si="36"/>
        <v>3750</v>
      </c>
      <c r="G119" s="83">
        <v>0</v>
      </c>
      <c r="H119" s="82">
        <f t="shared" si="61"/>
        <v>-3750</v>
      </c>
      <c r="I119" s="72" t="s">
        <v>129</v>
      </c>
      <c r="J119" s="105">
        <f t="shared" si="63"/>
        <v>0</v>
      </c>
      <c r="K119" s="106">
        <f t="shared" si="70"/>
        <v>0</v>
      </c>
      <c r="L119" s="239">
        <f t="shared" si="64"/>
        <v>3750</v>
      </c>
      <c r="M119" s="243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244"/>
      <c r="AG119" s="243"/>
      <c r="AH119" s="244"/>
      <c r="AI119" s="108"/>
      <c r="AJ119" s="108"/>
      <c r="AK119" s="108"/>
      <c r="AL119" s="108"/>
      <c r="AM119" s="108"/>
      <c r="AN119" s="108"/>
      <c r="AO119" s="108"/>
      <c r="AP119" s="108">
        <v>3750</v>
      </c>
      <c r="AQ119" s="108"/>
      <c r="AR119" s="108"/>
      <c r="AS119" s="108"/>
      <c r="AT119" s="108"/>
      <c r="AU119" s="108"/>
      <c r="AV119" s="108"/>
      <c r="AW119" s="108"/>
      <c r="AX119" s="108"/>
      <c r="AY119" s="108"/>
      <c r="BA119" s="31"/>
      <c r="BB119" s="31"/>
      <c r="BC119" s="28"/>
    </row>
    <row r="120" spans="1:55" s="30" customFormat="1" ht="14.4" x14ac:dyDescent="0.3">
      <c r="A120" s="135"/>
      <c r="B120" s="28" t="s">
        <v>80</v>
      </c>
      <c r="C120" s="136"/>
      <c r="D120" s="81">
        <f>+J120+K120+L120</f>
        <v>1953.6</v>
      </c>
      <c r="E120" s="82">
        <v>1801</v>
      </c>
      <c r="F120" s="82">
        <f t="shared" si="36"/>
        <v>152.59999999999991</v>
      </c>
      <c r="G120" s="83">
        <v>2928</v>
      </c>
      <c r="H120" s="82">
        <f t="shared" si="61"/>
        <v>974.40000000000009</v>
      </c>
      <c r="I120" s="72">
        <f>+D120/G120</f>
        <v>0.66721311475409828</v>
      </c>
      <c r="J120" s="105">
        <f t="shared" si="63"/>
        <v>1953.6</v>
      </c>
      <c r="K120" s="106">
        <f t="shared" si="70"/>
        <v>0</v>
      </c>
      <c r="L120" s="239">
        <f t="shared" si="64"/>
        <v>0</v>
      </c>
      <c r="M120" s="243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>
        <v>1953.6</v>
      </c>
      <c r="AE120" s="108"/>
      <c r="AF120" s="244"/>
      <c r="AG120" s="243"/>
      <c r="AH120" s="244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BA120" s="31"/>
      <c r="BB120" s="31"/>
      <c r="BC120" s="28"/>
    </row>
    <row r="121" spans="1:55" s="30" customFormat="1" ht="14.4" x14ac:dyDescent="0.3">
      <c r="A121" s="135"/>
      <c r="B121" s="28" t="s">
        <v>78</v>
      </c>
      <c r="C121" s="136"/>
      <c r="D121" s="81">
        <f>+J121+K121+L121</f>
        <v>0</v>
      </c>
      <c r="E121" s="82">
        <v>9090</v>
      </c>
      <c r="F121" s="82">
        <f t="shared" si="36"/>
        <v>-9090</v>
      </c>
      <c r="G121" s="83">
        <v>5000</v>
      </c>
      <c r="H121" s="82">
        <f t="shared" si="61"/>
        <v>5000</v>
      </c>
      <c r="I121" s="72">
        <f>+D121/G121</f>
        <v>0</v>
      </c>
      <c r="J121" s="105">
        <f t="shared" si="63"/>
        <v>0</v>
      </c>
      <c r="K121" s="106">
        <f t="shared" si="70"/>
        <v>0</v>
      </c>
      <c r="L121" s="239">
        <f t="shared" si="64"/>
        <v>0</v>
      </c>
      <c r="M121" s="243" t="s">
        <v>31</v>
      </c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244"/>
      <c r="AG121" s="243"/>
      <c r="AH121" s="244" t="s">
        <v>31</v>
      </c>
      <c r="AI121" s="108"/>
      <c r="AJ121" s="108"/>
      <c r="AK121" s="108" t="s">
        <v>31</v>
      </c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 t="s">
        <v>31</v>
      </c>
      <c r="AW121" s="108"/>
      <c r="AX121" s="108"/>
      <c r="AY121" s="108"/>
      <c r="BA121" s="31"/>
      <c r="BB121" s="31"/>
      <c r="BC121" s="28"/>
    </row>
    <row r="122" spans="1:55" s="30" customFormat="1" ht="14.4" x14ac:dyDescent="0.3">
      <c r="A122" s="135"/>
      <c r="B122" s="28" t="s">
        <v>79</v>
      </c>
      <c r="C122" s="136"/>
      <c r="D122" s="81">
        <f>+J122+K122+L122</f>
        <v>0</v>
      </c>
      <c r="E122" s="82">
        <v>577</v>
      </c>
      <c r="F122" s="82">
        <f t="shared" si="36"/>
        <v>-577</v>
      </c>
      <c r="G122" s="83">
        <v>4500</v>
      </c>
      <c r="H122" s="82">
        <f t="shared" si="61"/>
        <v>4500</v>
      </c>
      <c r="I122" s="72">
        <f>+D122/G122</f>
        <v>0</v>
      </c>
      <c r="J122" s="105">
        <f t="shared" si="63"/>
        <v>0</v>
      </c>
      <c r="K122" s="106">
        <f t="shared" si="70"/>
        <v>0</v>
      </c>
      <c r="L122" s="239">
        <f t="shared" si="64"/>
        <v>0</v>
      </c>
      <c r="M122" s="243" t="s">
        <v>31</v>
      </c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 t="s">
        <v>31</v>
      </c>
      <c r="AD122" s="108"/>
      <c r="AE122" s="108"/>
      <c r="AF122" s="244"/>
      <c r="AG122" s="243"/>
      <c r="AH122" s="244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BA122" s="31"/>
      <c r="BB122" s="31"/>
      <c r="BC122" s="28"/>
    </row>
    <row r="123" spans="1:55" s="30" customFormat="1" ht="14.4" x14ac:dyDescent="0.3">
      <c r="A123" s="135"/>
      <c r="B123" s="28" t="s">
        <v>256</v>
      </c>
      <c r="C123" s="136"/>
      <c r="D123" s="81">
        <v>0</v>
      </c>
      <c r="E123" s="82">
        <v>3058</v>
      </c>
      <c r="F123" s="82">
        <f t="shared" si="36"/>
        <v>-3058</v>
      </c>
      <c r="G123" s="83">
        <v>0</v>
      </c>
      <c r="H123" s="82">
        <f t="shared" ref="H123" si="71">+G123-D123</f>
        <v>0</v>
      </c>
      <c r="I123" s="72" t="s">
        <v>129</v>
      </c>
      <c r="J123" s="105">
        <f t="shared" ref="J123" si="72">SUM(M123:AF123)</f>
        <v>0</v>
      </c>
      <c r="K123" s="106">
        <f t="shared" si="70"/>
        <v>0</v>
      </c>
      <c r="L123" s="239">
        <f t="shared" ref="L123" si="73">SUM(AI123:AY123)</f>
        <v>0</v>
      </c>
      <c r="M123" s="243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244"/>
      <c r="AG123" s="243"/>
      <c r="AH123" s="244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BA123" s="31"/>
      <c r="BB123" s="31"/>
      <c r="BC123" s="28"/>
    </row>
    <row r="124" spans="1:55" s="30" customFormat="1" ht="14.4" x14ac:dyDescent="0.3">
      <c r="A124" s="135"/>
      <c r="B124" s="28" t="s">
        <v>81</v>
      </c>
      <c r="C124" s="136"/>
      <c r="D124" s="81">
        <f t="shared" si="65"/>
        <v>764.5</v>
      </c>
      <c r="E124" s="82">
        <v>1285</v>
      </c>
      <c r="F124" s="82">
        <f t="shared" si="36"/>
        <v>-520.5</v>
      </c>
      <c r="G124" s="83">
        <v>3835</v>
      </c>
      <c r="H124" s="82">
        <f t="shared" si="61"/>
        <v>3070.5</v>
      </c>
      <c r="I124" s="72">
        <f>+D124/G124</f>
        <v>0.19934810951760104</v>
      </c>
      <c r="J124" s="105">
        <f t="shared" si="63"/>
        <v>564.5</v>
      </c>
      <c r="K124" s="106">
        <f t="shared" si="66"/>
        <v>200</v>
      </c>
      <c r="L124" s="239">
        <f t="shared" si="64"/>
        <v>0</v>
      </c>
      <c r="M124" s="243" t="s">
        <v>31</v>
      </c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 t="s">
        <v>31</v>
      </c>
      <c r="AB124" s="108"/>
      <c r="AC124" s="108"/>
      <c r="AD124" s="108">
        <f>453.42+111.08</f>
        <v>564.5</v>
      </c>
      <c r="AE124" s="108"/>
      <c r="AF124" s="244"/>
      <c r="AG124" s="243"/>
      <c r="AH124" s="244">
        <v>200</v>
      </c>
      <c r="AI124" s="108" t="s">
        <v>31</v>
      </c>
      <c r="AJ124" s="108" t="s">
        <v>31</v>
      </c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BA124" s="31"/>
      <c r="BB124" s="31"/>
      <c r="BC124" s="28"/>
    </row>
    <row r="125" spans="1:55" s="30" customFormat="1" ht="12" customHeight="1" x14ac:dyDescent="0.3">
      <c r="A125" s="135"/>
      <c r="B125" s="28"/>
      <c r="C125" s="136"/>
      <c r="D125" s="81" t="s">
        <v>31</v>
      </c>
      <c r="E125" s="82"/>
      <c r="F125" s="82"/>
      <c r="G125" s="83"/>
      <c r="H125" s="82"/>
      <c r="I125" s="72"/>
      <c r="J125" s="107"/>
      <c r="K125" s="108"/>
      <c r="L125" s="244"/>
      <c r="M125" s="243" t="s">
        <v>31</v>
      </c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 t="s">
        <v>31</v>
      </c>
      <c r="AB125" s="108"/>
      <c r="AC125" s="108"/>
      <c r="AD125" s="108" t="s">
        <v>31</v>
      </c>
      <c r="AE125" s="108"/>
      <c r="AF125" s="244"/>
      <c r="AG125" s="243"/>
      <c r="AH125" s="244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BA125" s="31"/>
      <c r="BB125" s="31"/>
      <c r="BC125" s="28"/>
    </row>
    <row r="126" spans="1:55" s="30" customFormat="1" ht="14.4" x14ac:dyDescent="0.3">
      <c r="A126" s="135" t="s">
        <v>82</v>
      </c>
      <c r="B126" s="28"/>
      <c r="C126" s="136"/>
      <c r="D126" s="81" t="s">
        <v>31</v>
      </c>
      <c r="E126" s="82"/>
      <c r="F126" s="82"/>
      <c r="G126" s="83"/>
      <c r="H126" s="82"/>
      <c r="I126" s="72"/>
      <c r="J126" s="105" t="s">
        <v>31</v>
      </c>
      <c r="K126" s="106" t="s">
        <v>31</v>
      </c>
      <c r="L126" s="239" t="s">
        <v>31</v>
      </c>
      <c r="M126" s="243" t="s">
        <v>31</v>
      </c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244"/>
      <c r="AG126" s="243"/>
      <c r="AH126" s="244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BA126" s="31"/>
      <c r="BB126" s="31"/>
      <c r="BC126" s="28"/>
    </row>
    <row r="127" spans="1:55" s="30" customFormat="1" ht="14.4" x14ac:dyDescent="0.3">
      <c r="A127" s="135"/>
      <c r="B127" s="28" t="s">
        <v>207</v>
      </c>
      <c r="C127" s="136"/>
      <c r="D127" s="81" t="s">
        <v>31</v>
      </c>
      <c r="E127" s="82" t="s">
        <v>31</v>
      </c>
      <c r="F127" s="82"/>
      <c r="G127" s="83" t="s">
        <v>31</v>
      </c>
      <c r="H127" s="82" t="s">
        <v>31</v>
      </c>
      <c r="I127" s="72" t="s">
        <v>31</v>
      </c>
      <c r="J127" s="105" t="s">
        <v>31</v>
      </c>
      <c r="K127" s="106" t="s">
        <v>31</v>
      </c>
      <c r="L127" s="239" t="s">
        <v>31</v>
      </c>
      <c r="M127" s="243"/>
      <c r="N127" s="108"/>
      <c r="O127" s="108"/>
      <c r="P127" s="108"/>
      <c r="Q127" s="108"/>
      <c r="R127" s="125" t="s">
        <v>177</v>
      </c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244"/>
      <c r="AG127" s="243"/>
      <c r="AH127" s="244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BA127" s="31"/>
      <c r="BB127" s="31"/>
      <c r="BC127" s="28"/>
    </row>
    <row r="128" spans="1:55" s="30" customFormat="1" ht="14.4" x14ac:dyDescent="0.3">
      <c r="A128" s="135"/>
      <c r="B128" s="28" t="s">
        <v>143</v>
      </c>
      <c r="C128" s="136"/>
      <c r="D128" s="81">
        <f t="shared" ref="D128:D137" si="74">+J128+K128+L128</f>
        <v>47678.55</v>
      </c>
      <c r="E128" s="205">
        <f>116908+754</f>
        <v>117662</v>
      </c>
      <c r="F128" s="82">
        <f t="shared" si="36"/>
        <v>-69983.45</v>
      </c>
      <c r="G128" s="83">
        <v>130000</v>
      </c>
      <c r="H128" s="82">
        <f t="shared" ref="H128:H137" si="75">+G128-D128</f>
        <v>82321.45</v>
      </c>
      <c r="I128" s="72">
        <f>+D128/G128</f>
        <v>0.36675807692307694</v>
      </c>
      <c r="J128" s="105">
        <f t="shared" ref="J128:J137" si="76">SUM(M128:AF128)</f>
        <v>47678.55</v>
      </c>
      <c r="K128" s="106">
        <f t="shared" ref="K128:K137" si="77">SUM(AG128:AH128)</f>
        <v>0</v>
      </c>
      <c r="L128" s="239">
        <f t="shared" ref="L128:L137" si="78">SUM(AI128:AY128)</f>
        <v>0</v>
      </c>
      <c r="M128" s="243" t="s">
        <v>31</v>
      </c>
      <c r="N128" s="108"/>
      <c r="O128" s="108" t="s">
        <v>31</v>
      </c>
      <c r="P128" s="108"/>
      <c r="Q128" s="108"/>
      <c r="R128" s="108" t="s">
        <v>31</v>
      </c>
      <c r="S128" s="108"/>
      <c r="T128" s="108"/>
      <c r="U128" s="108"/>
      <c r="V128" s="108"/>
      <c r="W128" s="108">
        <v>47678.55</v>
      </c>
      <c r="X128" s="108" t="s">
        <v>31</v>
      </c>
      <c r="Y128" s="108"/>
      <c r="Z128" s="108"/>
      <c r="AA128" s="108"/>
      <c r="AB128" s="108"/>
      <c r="AC128" s="108"/>
      <c r="AD128" s="108"/>
      <c r="AE128" s="108"/>
      <c r="AF128" s="244"/>
      <c r="AG128" s="243"/>
      <c r="AH128" s="244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 t="s">
        <v>31</v>
      </c>
      <c r="AV128" s="108"/>
      <c r="AW128" s="108"/>
      <c r="AX128" s="108"/>
      <c r="AY128" s="108"/>
      <c r="BA128" s="31"/>
      <c r="BB128" s="31"/>
      <c r="BC128" s="28"/>
    </row>
    <row r="129" spans="1:55" s="30" customFormat="1" ht="14.4" x14ac:dyDescent="0.3">
      <c r="A129" s="135"/>
      <c r="B129" s="28" t="s">
        <v>149</v>
      </c>
      <c r="C129" s="136"/>
      <c r="D129" s="81">
        <f t="shared" si="74"/>
        <v>16091.68</v>
      </c>
      <c r="E129" s="205">
        <v>0</v>
      </c>
      <c r="F129" s="82">
        <f t="shared" si="36"/>
        <v>16091.68</v>
      </c>
      <c r="G129" s="83">
        <v>20000</v>
      </c>
      <c r="H129" s="82">
        <f t="shared" si="75"/>
        <v>3908.3199999999997</v>
      </c>
      <c r="I129" s="72">
        <f>+D129/G129</f>
        <v>0.80458399999999997</v>
      </c>
      <c r="J129" s="105">
        <f t="shared" si="76"/>
        <v>16091.68</v>
      </c>
      <c r="K129" s="106">
        <f t="shared" si="77"/>
        <v>0</v>
      </c>
      <c r="L129" s="239">
        <f t="shared" si="78"/>
        <v>0</v>
      </c>
      <c r="M129" s="243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>
        <v>16091.68</v>
      </c>
      <c r="X129" s="108"/>
      <c r="Y129" s="108"/>
      <c r="Z129" s="108"/>
      <c r="AA129" s="108"/>
      <c r="AB129" s="108"/>
      <c r="AC129" s="108"/>
      <c r="AD129" s="108"/>
      <c r="AE129" s="108"/>
      <c r="AF129" s="244"/>
      <c r="AG129" s="243"/>
      <c r="AH129" s="244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BA129" s="31"/>
      <c r="BB129" s="31"/>
      <c r="BC129" s="28"/>
    </row>
    <row r="130" spans="1:55" s="30" customFormat="1" ht="14.4" x14ac:dyDescent="0.3">
      <c r="A130" s="135"/>
      <c r="B130" s="28" t="s">
        <v>147</v>
      </c>
      <c r="C130" s="136"/>
      <c r="D130" s="81">
        <f>+J130+K130+L130</f>
        <v>2910.63</v>
      </c>
      <c r="E130" s="205">
        <v>2622</v>
      </c>
      <c r="F130" s="82">
        <f t="shared" si="36"/>
        <v>288.63000000000011</v>
      </c>
      <c r="G130" s="83">
        <v>2500</v>
      </c>
      <c r="H130" s="82">
        <f t="shared" si="75"/>
        <v>-410.63000000000011</v>
      </c>
      <c r="I130" s="72">
        <f>+D130/G130</f>
        <v>1.1642520000000001</v>
      </c>
      <c r="J130" s="105">
        <f t="shared" si="76"/>
        <v>2910.63</v>
      </c>
      <c r="K130" s="106">
        <f t="shared" si="77"/>
        <v>0</v>
      </c>
      <c r="L130" s="239">
        <f t="shared" si="78"/>
        <v>0</v>
      </c>
      <c r="M130" s="243" t="s">
        <v>31</v>
      </c>
      <c r="N130" s="108"/>
      <c r="O130" s="108"/>
      <c r="P130" s="108"/>
      <c r="Q130" s="108"/>
      <c r="R130" s="108"/>
      <c r="S130" s="108"/>
      <c r="T130" s="108"/>
      <c r="U130" s="108"/>
      <c r="V130" s="108"/>
      <c r="W130" s="108">
        <v>2910.63</v>
      </c>
      <c r="X130" s="108"/>
      <c r="Y130" s="108"/>
      <c r="Z130" s="108"/>
      <c r="AA130" s="108"/>
      <c r="AB130" s="108"/>
      <c r="AC130" s="108"/>
      <c r="AD130" s="108"/>
      <c r="AE130" s="108"/>
      <c r="AF130" s="244"/>
      <c r="AG130" s="243"/>
      <c r="AH130" s="244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BA130" s="31"/>
      <c r="BB130" s="31"/>
      <c r="BC130" s="28"/>
    </row>
    <row r="131" spans="1:55" s="30" customFormat="1" ht="14.4" x14ac:dyDescent="0.3">
      <c r="A131" s="135"/>
      <c r="B131" s="28" t="s">
        <v>181</v>
      </c>
      <c r="C131" s="136"/>
      <c r="D131" s="81">
        <f>+J131+K131+L131</f>
        <v>2600</v>
      </c>
      <c r="E131" s="205">
        <v>0</v>
      </c>
      <c r="F131" s="82">
        <f t="shared" si="36"/>
        <v>2600</v>
      </c>
      <c r="G131" s="83">
        <v>5000</v>
      </c>
      <c r="H131" s="82">
        <f t="shared" si="75"/>
        <v>2400</v>
      </c>
      <c r="I131" s="72">
        <f>+D131/G131</f>
        <v>0.52</v>
      </c>
      <c r="J131" s="105">
        <f t="shared" si="76"/>
        <v>2600</v>
      </c>
      <c r="K131" s="106">
        <f t="shared" si="77"/>
        <v>0</v>
      </c>
      <c r="L131" s="239">
        <f t="shared" si="78"/>
        <v>0</v>
      </c>
      <c r="M131" s="243" t="s">
        <v>31</v>
      </c>
      <c r="N131" s="108"/>
      <c r="O131" s="108"/>
      <c r="P131" s="108"/>
      <c r="Q131" s="108"/>
      <c r="R131" s="108" t="s">
        <v>31</v>
      </c>
      <c r="S131" s="108"/>
      <c r="T131" s="108"/>
      <c r="U131" s="108"/>
      <c r="V131" s="108"/>
      <c r="W131" s="108">
        <f>1200+1400</f>
        <v>2600</v>
      </c>
      <c r="X131" s="108" t="s">
        <v>31</v>
      </c>
      <c r="Y131" s="108"/>
      <c r="Z131" s="108"/>
      <c r="AA131" s="108"/>
      <c r="AB131" s="108"/>
      <c r="AC131" s="108"/>
      <c r="AD131" s="108"/>
      <c r="AE131" s="108"/>
      <c r="AF131" s="244"/>
      <c r="AG131" s="243"/>
      <c r="AH131" s="244"/>
      <c r="AI131" s="108" t="s">
        <v>31</v>
      </c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BA131" s="31"/>
      <c r="BB131" s="31"/>
      <c r="BC131" s="28"/>
    </row>
    <row r="132" spans="1:55" s="30" customFormat="1" ht="14.4" x14ac:dyDescent="0.3">
      <c r="A132" s="135"/>
      <c r="B132" s="28" t="s">
        <v>144</v>
      </c>
      <c r="C132" s="136"/>
      <c r="D132" s="81">
        <f t="shared" si="74"/>
        <v>606.73</v>
      </c>
      <c r="E132" s="205">
        <v>1532</v>
      </c>
      <c r="F132" s="82">
        <f t="shared" si="36"/>
        <v>-925.27</v>
      </c>
      <c r="G132" s="83">
        <v>0</v>
      </c>
      <c r="H132" s="82">
        <f t="shared" si="75"/>
        <v>-606.73</v>
      </c>
      <c r="I132" s="72" t="s">
        <v>129</v>
      </c>
      <c r="J132" s="105">
        <f t="shared" si="76"/>
        <v>606.73</v>
      </c>
      <c r="K132" s="106">
        <f t="shared" si="77"/>
        <v>0</v>
      </c>
      <c r="L132" s="239">
        <f t="shared" si="78"/>
        <v>0</v>
      </c>
      <c r="M132" s="243" t="s">
        <v>31</v>
      </c>
      <c r="N132" s="108"/>
      <c r="O132" s="108"/>
      <c r="P132" s="108"/>
      <c r="Q132" s="108"/>
      <c r="R132" s="108"/>
      <c r="S132" s="108"/>
      <c r="T132" s="108"/>
      <c r="U132" s="108"/>
      <c r="V132" s="108"/>
      <c r="W132" s="108">
        <v>606.73</v>
      </c>
      <c r="X132" s="108"/>
      <c r="Y132" s="108"/>
      <c r="Z132" s="108"/>
      <c r="AA132" s="108"/>
      <c r="AB132" s="108"/>
      <c r="AC132" s="108"/>
      <c r="AD132" s="108"/>
      <c r="AE132" s="108"/>
      <c r="AF132" s="244"/>
      <c r="AG132" s="243"/>
      <c r="AH132" s="244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BA132" s="31"/>
      <c r="BB132" s="31"/>
      <c r="BC132" s="28"/>
    </row>
    <row r="133" spans="1:55" s="30" customFormat="1" ht="14.4" x14ac:dyDescent="0.3">
      <c r="A133" s="135"/>
      <c r="B133" s="28" t="s">
        <v>146</v>
      </c>
      <c r="C133" s="136"/>
      <c r="D133" s="81">
        <f>+J133+K133+L133</f>
        <v>443.36</v>
      </c>
      <c r="E133" s="205">
        <f>2000+600+300</f>
        <v>2900</v>
      </c>
      <c r="F133" s="82">
        <f t="shared" si="36"/>
        <v>-2456.64</v>
      </c>
      <c r="G133" s="83">
        <v>0</v>
      </c>
      <c r="H133" s="82">
        <f t="shared" si="75"/>
        <v>-443.36</v>
      </c>
      <c r="I133" s="72" t="s">
        <v>129</v>
      </c>
      <c r="J133" s="105">
        <f t="shared" si="76"/>
        <v>443.36</v>
      </c>
      <c r="K133" s="106">
        <f t="shared" si="77"/>
        <v>0</v>
      </c>
      <c r="L133" s="239">
        <f t="shared" si="78"/>
        <v>0</v>
      </c>
      <c r="M133" s="243" t="s">
        <v>31</v>
      </c>
      <c r="N133" s="108"/>
      <c r="O133" s="108"/>
      <c r="P133" s="108"/>
      <c r="Q133" s="108"/>
      <c r="R133" s="108"/>
      <c r="S133" s="108"/>
      <c r="T133" s="108"/>
      <c r="U133" s="108"/>
      <c r="V133" s="108"/>
      <c r="W133" s="108">
        <v>443.36</v>
      </c>
      <c r="X133" s="108"/>
      <c r="Y133" s="108"/>
      <c r="Z133" s="108"/>
      <c r="AA133" s="108"/>
      <c r="AB133" s="108"/>
      <c r="AC133" s="108"/>
      <c r="AD133" s="108"/>
      <c r="AE133" s="108"/>
      <c r="AF133" s="244"/>
      <c r="AG133" s="243"/>
      <c r="AH133" s="244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BA133" s="31"/>
      <c r="BB133" s="31"/>
      <c r="BC133" s="28"/>
    </row>
    <row r="134" spans="1:55" s="30" customFormat="1" ht="14.4" x14ac:dyDescent="0.3">
      <c r="A134" s="135"/>
      <c r="B134" s="28" t="s">
        <v>159</v>
      </c>
      <c r="C134" s="136"/>
      <c r="D134" s="81">
        <f>+J134+K134+L134</f>
        <v>398.53</v>
      </c>
      <c r="E134" s="205">
        <v>0</v>
      </c>
      <c r="F134" s="82">
        <f t="shared" si="36"/>
        <v>398.53</v>
      </c>
      <c r="G134" s="83">
        <v>0</v>
      </c>
      <c r="H134" s="82">
        <f t="shared" si="75"/>
        <v>-398.53</v>
      </c>
      <c r="I134" s="72" t="s">
        <v>129</v>
      </c>
      <c r="J134" s="105">
        <f t="shared" si="76"/>
        <v>398.53</v>
      </c>
      <c r="K134" s="106">
        <f t="shared" si="77"/>
        <v>0</v>
      </c>
      <c r="L134" s="239">
        <f t="shared" si="78"/>
        <v>0</v>
      </c>
      <c r="M134" s="243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>
        <v>398.53</v>
      </c>
      <c r="X134" s="108"/>
      <c r="Y134" s="108"/>
      <c r="Z134" s="108"/>
      <c r="AA134" s="108"/>
      <c r="AB134" s="108"/>
      <c r="AC134" s="108"/>
      <c r="AD134" s="108"/>
      <c r="AE134" s="108"/>
      <c r="AF134" s="244"/>
      <c r="AG134" s="243"/>
      <c r="AH134" s="244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BA134" s="31"/>
      <c r="BB134" s="31"/>
      <c r="BC134" s="28"/>
    </row>
    <row r="135" spans="1:55" s="30" customFormat="1" ht="14.4" x14ac:dyDescent="0.3">
      <c r="A135" s="135"/>
      <c r="B135" s="28" t="s">
        <v>145</v>
      </c>
      <c r="C135" s="136"/>
      <c r="D135" s="81">
        <f t="shared" si="74"/>
        <v>0</v>
      </c>
      <c r="E135" s="205">
        <v>5123.43</v>
      </c>
      <c r="F135" s="82">
        <f t="shared" si="36"/>
        <v>-5123.43</v>
      </c>
      <c r="G135" s="83">
        <v>6000</v>
      </c>
      <c r="H135" s="82">
        <f t="shared" si="75"/>
        <v>6000</v>
      </c>
      <c r="I135" s="72">
        <f>+D135/G135</f>
        <v>0</v>
      </c>
      <c r="J135" s="105">
        <f t="shared" si="76"/>
        <v>0</v>
      </c>
      <c r="K135" s="106">
        <f t="shared" si="77"/>
        <v>0</v>
      </c>
      <c r="L135" s="239">
        <f t="shared" si="78"/>
        <v>0</v>
      </c>
      <c r="M135" s="243" t="s">
        <v>31</v>
      </c>
      <c r="N135" s="108"/>
      <c r="O135" s="108"/>
      <c r="P135" s="108"/>
      <c r="Q135" s="108"/>
      <c r="R135" s="108"/>
      <c r="S135" s="108"/>
      <c r="T135" s="108"/>
      <c r="U135" s="108"/>
      <c r="V135" s="108"/>
      <c r="W135" s="108">
        <v>0</v>
      </c>
      <c r="X135" s="108"/>
      <c r="Y135" s="108"/>
      <c r="Z135" s="108"/>
      <c r="AA135" s="108"/>
      <c r="AB135" s="108"/>
      <c r="AC135" s="108"/>
      <c r="AD135" s="108"/>
      <c r="AE135" s="108"/>
      <c r="AF135" s="244"/>
      <c r="AG135" s="243"/>
      <c r="AH135" s="244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BA135" s="31"/>
      <c r="BB135" s="31"/>
      <c r="BC135" s="28"/>
    </row>
    <row r="136" spans="1:55" s="30" customFormat="1" ht="14.4" x14ac:dyDescent="0.3">
      <c r="A136" s="135"/>
      <c r="B136" s="28"/>
      <c r="C136" s="136" t="s">
        <v>257</v>
      </c>
      <c r="D136" s="81">
        <v>0</v>
      </c>
      <c r="E136" s="205">
        <v>2897</v>
      </c>
      <c r="F136" s="82">
        <f t="shared" ref="F136" si="79">D136-E136</f>
        <v>-2897</v>
      </c>
      <c r="G136" s="83">
        <v>0</v>
      </c>
      <c r="H136" s="82">
        <f t="shared" ref="H136" si="80">+G136-D136</f>
        <v>0</v>
      </c>
      <c r="I136" s="72" t="s">
        <v>129</v>
      </c>
      <c r="J136" s="105">
        <v>0</v>
      </c>
      <c r="K136" s="106">
        <v>0</v>
      </c>
      <c r="L136" s="239">
        <v>0</v>
      </c>
      <c r="M136" s="243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244"/>
      <c r="AG136" s="243"/>
      <c r="AH136" s="244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BA136" s="31"/>
      <c r="BB136" s="31"/>
      <c r="BC136" s="28"/>
    </row>
    <row r="137" spans="1:55" s="30" customFormat="1" ht="14.4" x14ac:dyDescent="0.3">
      <c r="A137" s="135"/>
      <c r="B137" s="28" t="s">
        <v>148</v>
      </c>
      <c r="C137" s="136"/>
      <c r="D137" s="81">
        <f t="shared" si="74"/>
        <v>0</v>
      </c>
      <c r="E137" s="205">
        <f>368.75+368.75+368.75</f>
        <v>1106.25</v>
      </c>
      <c r="F137" s="82">
        <f t="shared" si="36"/>
        <v>-1106.25</v>
      </c>
      <c r="G137" s="83">
        <v>2000</v>
      </c>
      <c r="H137" s="82">
        <f t="shared" si="75"/>
        <v>2000</v>
      </c>
      <c r="I137" s="72">
        <f>+D137/G137</f>
        <v>0</v>
      </c>
      <c r="J137" s="105">
        <f t="shared" si="76"/>
        <v>0</v>
      </c>
      <c r="K137" s="106">
        <f t="shared" si="77"/>
        <v>0</v>
      </c>
      <c r="L137" s="239">
        <f t="shared" si="78"/>
        <v>0</v>
      </c>
      <c r="M137" s="243" t="s">
        <v>31</v>
      </c>
      <c r="N137" s="108"/>
      <c r="O137" s="108"/>
      <c r="P137" s="108"/>
      <c r="Q137" s="108"/>
      <c r="R137" s="108"/>
      <c r="S137" s="108"/>
      <c r="T137" s="108"/>
      <c r="U137" s="108"/>
      <c r="V137" s="108"/>
      <c r="W137" s="108" t="s">
        <v>31</v>
      </c>
      <c r="X137" s="108"/>
      <c r="Y137" s="108"/>
      <c r="Z137" s="108"/>
      <c r="AA137" s="108"/>
      <c r="AB137" s="108"/>
      <c r="AC137" s="108"/>
      <c r="AD137" s="108"/>
      <c r="AE137" s="108"/>
      <c r="AF137" s="244"/>
      <c r="AG137" s="243"/>
      <c r="AH137" s="244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BA137" s="31"/>
      <c r="BB137" s="31"/>
      <c r="BC137" s="28"/>
    </row>
    <row r="138" spans="1:55" s="30" customFormat="1" ht="14.4" x14ac:dyDescent="0.3">
      <c r="A138" s="135"/>
      <c r="B138" s="28" t="s">
        <v>138</v>
      </c>
      <c r="C138" s="136"/>
      <c r="D138" s="81" t="s">
        <v>31</v>
      </c>
      <c r="E138" s="205" t="s">
        <v>31</v>
      </c>
      <c r="F138" s="82" t="s">
        <v>31</v>
      </c>
      <c r="G138" s="83" t="s">
        <v>31</v>
      </c>
      <c r="H138" s="82" t="s">
        <v>31</v>
      </c>
      <c r="I138" s="72" t="s">
        <v>31</v>
      </c>
      <c r="J138" s="105" t="s">
        <v>31</v>
      </c>
      <c r="K138" s="106" t="s">
        <v>31</v>
      </c>
      <c r="L138" s="239" t="s">
        <v>31</v>
      </c>
      <c r="M138" s="243"/>
      <c r="N138" s="108"/>
      <c r="O138" s="108" t="s">
        <v>31</v>
      </c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244"/>
      <c r="AG138" s="243"/>
      <c r="AH138" s="244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BA138" s="31"/>
      <c r="BB138" s="31"/>
      <c r="BC138" s="28"/>
    </row>
    <row r="139" spans="1:55" s="30" customFormat="1" ht="14.4" x14ac:dyDescent="0.3">
      <c r="A139" s="135"/>
      <c r="B139" s="28" t="s">
        <v>179</v>
      </c>
      <c r="C139" s="136"/>
      <c r="D139" s="81">
        <f t="shared" ref="D139" si="81">+J139+K139+L139</f>
        <v>16667.55</v>
      </c>
      <c r="E139" s="205">
        <f>73052+1839</f>
        <v>74891</v>
      </c>
      <c r="F139" s="82">
        <f t="shared" si="36"/>
        <v>-58223.45</v>
      </c>
      <c r="G139" s="83">
        <v>12500</v>
      </c>
      <c r="H139" s="82">
        <f t="shared" ref="H139:H149" si="82">+G139-D139</f>
        <v>-4167.5499999999993</v>
      </c>
      <c r="I139" s="72">
        <f>+D139/G139</f>
        <v>1.333404</v>
      </c>
      <c r="J139" s="105">
        <f t="shared" ref="J139:J149" si="83">SUM(M139:AF139)</f>
        <v>16667.55</v>
      </c>
      <c r="K139" s="106">
        <f t="shared" ref="K139" si="84">SUM(AG139:AH139)</f>
        <v>0</v>
      </c>
      <c r="L139" s="239">
        <f t="shared" ref="L139:L149" si="85">SUM(AI139:AY139)</f>
        <v>0</v>
      </c>
      <c r="M139" s="243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>
        <f>14552.91+2114.64</f>
        <v>16667.55</v>
      </c>
      <c r="Y139" s="108"/>
      <c r="Z139" s="108"/>
      <c r="AA139" s="108"/>
      <c r="AB139" s="108"/>
      <c r="AC139" s="108"/>
      <c r="AD139" s="108"/>
      <c r="AE139" s="108"/>
      <c r="AF139" s="244"/>
      <c r="AG139" s="243"/>
      <c r="AH139" s="244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BA139" s="31"/>
      <c r="BB139" s="31"/>
      <c r="BC139" s="28"/>
    </row>
    <row r="140" spans="1:55" s="30" customFormat="1" ht="14.4" x14ac:dyDescent="0.3">
      <c r="A140" s="135"/>
      <c r="B140" s="28" t="s">
        <v>178</v>
      </c>
      <c r="C140" s="136"/>
      <c r="D140" s="81">
        <f t="shared" ref="D140" si="86">+J140+K140+L140</f>
        <v>10000</v>
      </c>
      <c r="E140" s="205">
        <v>3637</v>
      </c>
      <c r="F140" s="82">
        <f t="shared" si="36"/>
        <v>6363</v>
      </c>
      <c r="G140" s="83">
        <v>10200</v>
      </c>
      <c r="H140" s="82">
        <f t="shared" si="82"/>
        <v>200</v>
      </c>
      <c r="I140" s="72">
        <f>+D140/G140</f>
        <v>0.98039215686274506</v>
      </c>
      <c r="J140" s="105">
        <f t="shared" si="83"/>
        <v>10000</v>
      </c>
      <c r="K140" s="106">
        <f t="shared" ref="K140" si="87">SUM(AG140:AH140)</f>
        <v>0</v>
      </c>
      <c r="L140" s="239">
        <f t="shared" si="85"/>
        <v>0</v>
      </c>
      <c r="M140" s="243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>
        <v>10000</v>
      </c>
      <c r="Y140" s="108"/>
      <c r="Z140" s="108"/>
      <c r="AA140" s="108"/>
      <c r="AB140" s="108"/>
      <c r="AC140" s="108"/>
      <c r="AD140" s="108"/>
      <c r="AE140" s="108"/>
      <c r="AF140" s="244"/>
      <c r="AG140" s="243"/>
      <c r="AH140" s="244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BA140" s="31"/>
      <c r="BB140" s="31"/>
      <c r="BC140" s="28"/>
    </row>
    <row r="141" spans="1:55" s="30" customFormat="1" ht="14.4" x14ac:dyDescent="0.3">
      <c r="A141" s="135"/>
      <c r="B141" s="28" t="s">
        <v>152</v>
      </c>
      <c r="C141" s="136"/>
      <c r="D141" s="81">
        <f>+J141+K141+L141</f>
        <v>35000</v>
      </c>
      <c r="E141" s="205">
        <v>35000</v>
      </c>
      <c r="F141" s="82">
        <f t="shared" ref="F141:F204" si="88">D141-E141</f>
        <v>0</v>
      </c>
      <c r="G141" s="83">
        <v>35000</v>
      </c>
      <c r="H141" s="82">
        <f t="shared" si="82"/>
        <v>0</v>
      </c>
      <c r="I141" s="72">
        <f>+D141/G141</f>
        <v>1</v>
      </c>
      <c r="J141" s="105">
        <f t="shared" si="83"/>
        <v>0</v>
      </c>
      <c r="K141" s="106">
        <f>SUM(AG141:AH141)</f>
        <v>0</v>
      </c>
      <c r="L141" s="239">
        <f t="shared" si="85"/>
        <v>35000</v>
      </c>
      <c r="M141" s="243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244"/>
      <c r="AG141" s="243"/>
      <c r="AH141" s="244"/>
      <c r="AI141" s="108">
        <v>35000</v>
      </c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BA141" s="31"/>
      <c r="BB141" s="31"/>
      <c r="BC141" s="28"/>
    </row>
    <row r="142" spans="1:55" s="30" customFormat="1" ht="14.4" x14ac:dyDescent="0.3">
      <c r="A142" s="135"/>
      <c r="B142" s="28" t="s">
        <v>185</v>
      </c>
      <c r="C142" s="136"/>
      <c r="D142" s="81">
        <f t="shared" ref="D142" si="89">+J142+K142+L142</f>
        <v>13193.550000000001</v>
      </c>
      <c r="E142" s="205">
        <v>6603</v>
      </c>
      <c r="F142" s="82">
        <f t="shared" si="88"/>
        <v>6590.5500000000011</v>
      </c>
      <c r="G142" s="83">
        <v>37500</v>
      </c>
      <c r="H142" s="82">
        <f t="shared" si="82"/>
        <v>24306.449999999997</v>
      </c>
      <c r="I142" s="72">
        <f>+D142/G142</f>
        <v>0.35182800000000003</v>
      </c>
      <c r="J142" s="105">
        <f t="shared" si="83"/>
        <v>13193.550000000001</v>
      </c>
      <c r="K142" s="106">
        <f t="shared" ref="K142" si="90">SUM(AG142:AH142)</f>
        <v>0</v>
      </c>
      <c r="L142" s="239">
        <f t="shared" si="85"/>
        <v>0</v>
      </c>
      <c r="M142" s="243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>
        <v>1987.69</v>
      </c>
      <c r="Z142" s="108">
        <f>10205.86+1000</f>
        <v>11205.86</v>
      </c>
      <c r="AA142" s="108"/>
      <c r="AB142" s="108"/>
      <c r="AC142" s="108"/>
      <c r="AD142" s="108"/>
      <c r="AE142" s="108"/>
      <c r="AF142" s="244"/>
      <c r="AG142" s="243"/>
      <c r="AH142" s="244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BA142" s="31"/>
      <c r="BB142" s="31"/>
      <c r="BC142" s="28"/>
    </row>
    <row r="143" spans="1:55" s="30" customFormat="1" ht="14.4" x14ac:dyDescent="0.3">
      <c r="A143" s="135"/>
      <c r="B143" s="28" t="s">
        <v>180</v>
      </c>
      <c r="C143" s="136"/>
      <c r="D143" s="81">
        <f>+J143+K143+L143</f>
        <v>12567.91</v>
      </c>
      <c r="E143" s="205">
        <v>0</v>
      </c>
      <c r="F143" s="82">
        <f t="shared" si="88"/>
        <v>12567.91</v>
      </c>
      <c r="G143" s="83">
        <v>0</v>
      </c>
      <c r="H143" s="82">
        <f t="shared" si="82"/>
        <v>-12567.91</v>
      </c>
      <c r="I143" s="72" t="s">
        <v>129</v>
      </c>
      <c r="J143" s="105">
        <f t="shared" si="83"/>
        <v>0</v>
      </c>
      <c r="K143" s="106">
        <f>SUM(AG143:AH143)</f>
        <v>0</v>
      </c>
      <c r="L143" s="239">
        <f t="shared" si="85"/>
        <v>12567.91</v>
      </c>
      <c r="M143" s="243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244"/>
      <c r="AG143" s="243"/>
      <c r="AH143" s="244"/>
      <c r="AI143" s="108"/>
      <c r="AJ143" s="108"/>
      <c r="AK143" s="108">
        <v>12567.91</v>
      </c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BA143" s="31"/>
      <c r="BB143" s="31"/>
      <c r="BC143" s="28"/>
    </row>
    <row r="144" spans="1:55" s="30" customFormat="1" ht="14.4" x14ac:dyDescent="0.3">
      <c r="A144" s="135"/>
      <c r="B144" s="28" t="s">
        <v>150</v>
      </c>
      <c r="C144" s="136"/>
      <c r="D144" s="81">
        <f>+J144+K144+L144</f>
        <v>11681.61</v>
      </c>
      <c r="E144" s="205">
        <v>0</v>
      </c>
      <c r="F144" s="82">
        <f t="shared" si="88"/>
        <v>11681.61</v>
      </c>
      <c r="G144" s="83">
        <v>0</v>
      </c>
      <c r="H144" s="82">
        <f t="shared" si="82"/>
        <v>-11681.61</v>
      </c>
      <c r="I144" s="72" t="s">
        <v>129</v>
      </c>
      <c r="J144" s="105">
        <f t="shared" si="83"/>
        <v>0</v>
      </c>
      <c r="K144" s="106">
        <f>SUM(AG144:AH144)</f>
        <v>0</v>
      </c>
      <c r="L144" s="239">
        <f t="shared" si="85"/>
        <v>11681.61</v>
      </c>
      <c r="M144" s="243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244"/>
      <c r="AG144" s="243"/>
      <c r="AH144" s="244"/>
      <c r="AI144" s="108"/>
      <c r="AJ144" s="108"/>
      <c r="AK144" s="108">
        <f>11324.76+356.85</f>
        <v>11681.61</v>
      </c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BA144" s="31"/>
      <c r="BB144" s="31"/>
      <c r="BC144" s="28"/>
    </row>
    <row r="145" spans="1:55" s="30" customFormat="1" ht="14.4" x14ac:dyDescent="0.3">
      <c r="A145" s="135"/>
      <c r="B145" s="28" t="s">
        <v>139</v>
      </c>
      <c r="C145" s="136"/>
      <c r="D145" s="81">
        <f t="shared" ref="D145" si="91">+J145+K145+L145</f>
        <v>3500</v>
      </c>
      <c r="E145" s="205">
        <v>0</v>
      </c>
      <c r="F145" s="82">
        <f t="shared" si="88"/>
        <v>3500</v>
      </c>
      <c r="G145" s="83">
        <v>0</v>
      </c>
      <c r="H145" s="82">
        <f t="shared" si="82"/>
        <v>-3500</v>
      </c>
      <c r="I145" s="72" t="s">
        <v>129</v>
      </c>
      <c r="J145" s="105">
        <f t="shared" si="83"/>
        <v>3500</v>
      </c>
      <c r="K145" s="106">
        <f t="shared" ref="K145" si="92">SUM(AG145:AH145)</f>
        <v>0</v>
      </c>
      <c r="L145" s="239">
        <f t="shared" si="85"/>
        <v>0</v>
      </c>
      <c r="M145" s="243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>
        <v>3500</v>
      </c>
      <c r="AD145" s="108"/>
      <c r="AE145" s="108"/>
      <c r="AF145" s="244"/>
      <c r="AG145" s="243"/>
      <c r="AH145" s="244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BA145" s="31"/>
      <c r="BB145" s="31"/>
      <c r="BC145" s="28"/>
    </row>
    <row r="146" spans="1:55" s="30" customFormat="1" ht="14.4" x14ac:dyDescent="0.3">
      <c r="A146" s="135"/>
      <c r="B146" s="28" t="s">
        <v>151</v>
      </c>
      <c r="C146" s="136"/>
      <c r="D146" s="81">
        <f t="shared" ref="D146" si="93">+J146+K146+L146</f>
        <v>2637.5</v>
      </c>
      <c r="E146" s="205">
        <f>619+964</f>
        <v>1583</v>
      </c>
      <c r="F146" s="82">
        <f t="shared" si="88"/>
        <v>1054.5</v>
      </c>
      <c r="G146" s="83">
        <v>0</v>
      </c>
      <c r="H146" s="82">
        <f t="shared" si="82"/>
        <v>-2637.5</v>
      </c>
      <c r="I146" s="72" t="s">
        <v>129</v>
      </c>
      <c r="J146" s="105">
        <f t="shared" si="83"/>
        <v>2637.5</v>
      </c>
      <c r="K146" s="106">
        <f t="shared" ref="K146" si="94">SUM(AG146:AH146)</f>
        <v>0</v>
      </c>
      <c r="L146" s="239">
        <f t="shared" si="85"/>
        <v>0</v>
      </c>
      <c r="M146" s="243"/>
      <c r="N146" s="108"/>
      <c r="O146" s="108"/>
      <c r="P146" s="108"/>
      <c r="Q146" s="108"/>
      <c r="R146" s="108"/>
      <c r="S146" s="108"/>
      <c r="T146" s="108"/>
      <c r="U146" s="108"/>
      <c r="V146" s="108">
        <v>2637.5</v>
      </c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244"/>
      <c r="AG146" s="243"/>
      <c r="AH146" s="244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BA146" s="31"/>
      <c r="BB146" s="31"/>
      <c r="BC146" s="28"/>
    </row>
    <row r="147" spans="1:55" s="30" customFormat="1" ht="14.4" x14ac:dyDescent="0.3">
      <c r="A147" s="135"/>
      <c r="B147" s="28" t="s">
        <v>175</v>
      </c>
      <c r="C147" s="136"/>
      <c r="D147" s="81">
        <f t="shared" ref="D147" si="95">+J147+K147+L147</f>
        <v>1361.94</v>
      </c>
      <c r="E147" s="205">
        <v>835</v>
      </c>
      <c r="F147" s="82">
        <f t="shared" si="88"/>
        <v>526.94000000000005</v>
      </c>
      <c r="G147" s="83">
        <v>1700</v>
      </c>
      <c r="H147" s="82">
        <f t="shared" si="82"/>
        <v>338.05999999999995</v>
      </c>
      <c r="I147" s="72">
        <f>+D147/G147</f>
        <v>0.80114117647058825</v>
      </c>
      <c r="J147" s="105">
        <f t="shared" si="83"/>
        <v>1361.94</v>
      </c>
      <c r="K147" s="106">
        <f t="shared" ref="K147" si="96">SUM(AG147:AH147)</f>
        <v>0</v>
      </c>
      <c r="L147" s="239">
        <f t="shared" si="85"/>
        <v>0</v>
      </c>
      <c r="M147" s="243"/>
      <c r="N147" s="108"/>
      <c r="O147" s="108">
        <f>1274.53+87.41</f>
        <v>1361.94</v>
      </c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244"/>
      <c r="AG147" s="243"/>
      <c r="AH147" s="244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BA147" s="31"/>
      <c r="BB147" s="31"/>
      <c r="BC147" s="28"/>
    </row>
    <row r="148" spans="1:55" s="30" customFormat="1" ht="14.4" x14ac:dyDescent="0.3">
      <c r="A148" s="135"/>
      <c r="B148" s="28" t="s">
        <v>176</v>
      </c>
      <c r="C148" s="136"/>
      <c r="D148" s="81">
        <f t="shared" ref="D148" si="97">+J148+K148+L148</f>
        <v>1128.58</v>
      </c>
      <c r="E148" s="205">
        <f>4676+1408+1296</f>
        <v>7380</v>
      </c>
      <c r="F148" s="82">
        <f t="shared" si="88"/>
        <v>-6251.42</v>
      </c>
      <c r="G148" s="83">
        <v>12650</v>
      </c>
      <c r="H148" s="82">
        <f t="shared" si="82"/>
        <v>11521.42</v>
      </c>
      <c r="I148" s="72">
        <f>+D148/G148</f>
        <v>8.9215810276679838E-2</v>
      </c>
      <c r="J148" s="105">
        <f t="shared" si="83"/>
        <v>1128.58</v>
      </c>
      <c r="K148" s="106">
        <f t="shared" ref="K148" si="98">SUM(AG148:AH148)</f>
        <v>0</v>
      </c>
      <c r="L148" s="239">
        <f t="shared" si="85"/>
        <v>0</v>
      </c>
      <c r="M148" s="243"/>
      <c r="N148" s="108"/>
      <c r="O148" s="108"/>
      <c r="P148" s="108"/>
      <c r="Q148" s="108"/>
      <c r="R148" s="108">
        <f>478.58+650</f>
        <v>1128.58</v>
      </c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244"/>
      <c r="AG148" s="243"/>
      <c r="AH148" s="244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BA148" s="31"/>
      <c r="BB148" s="31"/>
      <c r="BC148" s="28"/>
    </row>
    <row r="149" spans="1:55" s="30" customFormat="1" ht="14.4" x14ac:dyDescent="0.3">
      <c r="A149" s="135"/>
      <c r="B149" s="28" t="s">
        <v>209</v>
      </c>
      <c r="C149" s="136"/>
      <c r="D149" s="81">
        <f t="shared" ref="D149" si="99">+J149+K149+L149</f>
        <v>231.25</v>
      </c>
      <c r="E149" s="205">
        <v>0</v>
      </c>
      <c r="F149" s="82">
        <f t="shared" si="88"/>
        <v>231.25</v>
      </c>
      <c r="G149" s="83">
        <v>0</v>
      </c>
      <c r="H149" s="82">
        <f t="shared" si="82"/>
        <v>-231.25</v>
      </c>
      <c r="I149" s="72" t="s">
        <v>129</v>
      </c>
      <c r="J149" s="105">
        <f t="shared" si="83"/>
        <v>231.25</v>
      </c>
      <c r="K149" s="106">
        <f t="shared" ref="K149" si="100">SUM(AG149:AH149)</f>
        <v>0</v>
      </c>
      <c r="L149" s="239">
        <f t="shared" si="85"/>
        <v>0</v>
      </c>
      <c r="M149" s="243"/>
      <c r="N149" s="108"/>
      <c r="O149" s="108"/>
      <c r="P149" s="108">
        <v>231.25</v>
      </c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244"/>
      <c r="AG149" s="243"/>
      <c r="AH149" s="244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BA149" s="31"/>
      <c r="BB149" s="31"/>
      <c r="BC149" s="28"/>
    </row>
    <row r="150" spans="1:55" s="30" customFormat="1" ht="10.95" customHeight="1" x14ac:dyDescent="0.3">
      <c r="A150" s="135"/>
      <c r="B150" s="28"/>
      <c r="C150" s="136"/>
      <c r="D150" s="81" t="s">
        <v>31</v>
      </c>
      <c r="E150" s="82"/>
      <c r="F150" s="82"/>
      <c r="G150" s="83"/>
      <c r="H150" s="82"/>
      <c r="I150" s="72"/>
      <c r="J150" s="107"/>
      <c r="K150" s="108"/>
      <c r="L150" s="244"/>
      <c r="M150" s="243" t="s">
        <v>31</v>
      </c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244"/>
      <c r="AG150" s="243"/>
      <c r="AH150" s="244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BA150" s="31"/>
      <c r="BB150" s="31"/>
      <c r="BC150" s="28"/>
    </row>
    <row r="151" spans="1:55" s="30" customFormat="1" ht="14.4" x14ac:dyDescent="0.3">
      <c r="A151" s="135" t="s">
        <v>84</v>
      </c>
      <c r="B151" s="28"/>
      <c r="C151" s="136"/>
      <c r="D151" s="81" t="s">
        <v>31</v>
      </c>
      <c r="E151" s="82"/>
      <c r="F151" s="82"/>
      <c r="G151" s="83"/>
      <c r="H151" s="82"/>
      <c r="I151" s="72"/>
      <c r="J151" s="107"/>
      <c r="K151" s="108"/>
      <c r="L151" s="244"/>
      <c r="M151" s="243" t="s">
        <v>31</v>
      </c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244"/>
      <c r="AG151" s="243"/>
      <c r="AH151" s="244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  <c r="BA151" s="31"/>
      <c r="BB151" s="31"/>
      <c r="BC151" s="28"/>
    </row>
    <row r="152" spans="1:55" s="30" customFormat="1" ht="14.4" x14ac:dyDescent="0.3">
      <c r="A152" s="135" t="s">
        <v>31</v>
      </c>
      <c r="B152" s="28" t="s">
        <v>186</v>
      </c>
      <c r="C152" s="136"/>
      <c r="D152" s="81">
        <f>+J152+K152+L152</f>
        <v>69608.750000000015</v>
      </c>
      <c r="E152" s="82">
        <f>62991-13570-2815-859</f>
        <v>45747</v>
      </c>
      <c r="F152" s="82">
        <f t="shared" si="88"/>
        <v>23861.750000000015</v>
      </c>
      <c r="G152" s="83">
        <v>121830</v>
      </c>
      <c r="H152" s="82">
        <f t="shared" ref="H152:H159" si="101">+G152-D152</f>
        <v>52221.249999999985</v>
      </c>
      <c r="I152" s="72">
        <f>+D152/G152</f>
        <v>0.57135968152343442</v>
      </c>
      <c r="J152" s="105">
        <f t="shared" ref="J152:J159" si="102">SUM(M152:AF152)</f>
        <v>61277.87000000001</v>
      </c>
      <c r="K152" s="106">
        <f t="shared" ref="K152:K158" si="103">SUM(AG152:AH152)</f>
        <v>1375.5</v>
      </c>
      <c r="L152" s="239">
        <f t="shared" ref="L152:L159" si="104">SUM(AI152:AY152)</f>
        <v>6955.38</v>
      </c>
      <c r="M152" s="243" t="s">
        <v>31</v>
      </c>
      <c r="N152" s="108"/>
      <c r="O152" s="108">
        <v>1482.61</v>
      </c>
      <c r="P152" s="108">
        <v>713.61</v>
      </c>
      <c r="Q152" s="108"/>
      <c r="R152" s="108">
        <v>1095.43</v>
      </c>
      <c r="S152" s="108">
        <v>10471.61</v>
      </c>
      <c r="T152" s="108">
        <v>14502.96</v>
      </c>
      <c r="U152" s="108">
        <v>3171.13</v>
      </c>
      <c r="V152" s="108">
        <v>2498.1</v>
      </c>
      <c r="W152" s="108"/>
      <c r="X152" s="108"/>
      <c r="Y152" s="108" t="s">
        <v>31</v>
      </c>
      <c r="Z152" s="108"/>
      <c r="AA152" s="108"/>
      <c r="AB152" s="108">
        <v>1172.76</v>
      </c>
      <c r="AC152" s="108">
        <f>13859.75+7265.91</f>
        <v>21125.66</v>
      </c>
      <c r="AD152" s="108" t="s">
        <v>31</v>
      </c>
      <c r="AE152" s="108"/>
      <c r="AF152" s="244">
        <v>5044</v>
      </c>
      <c r="AG152" s="243"/>
      <c r="AH152" s="244">
        <v>1375.5</v>
      </c>
      <c r="AI152" s="108">
        <v>542.63</v>
      </c>
      <c r="AJ152" s="108"/>
      <c r="AK152" s="108" t="s">
        <v>31</v>
      </c>
      <c r="AL152" s="108"/>
      <c r="AM152" s="108"/>
      <c r="AN152" s="108"/>
      <c r="AO152" s="108"/>
      <c r="AP152" s="108">
        <v>5512.75</v>
      </c>
      <c r="AQ152" s="108"/>
      <c r="AR152" s="108"/>
      <c r="AS152" s="108" t="s">
        <v>31</v>
      </c>
      <c r="AT152" s="108"/>
      <c r="AU152" s="108">
        <v>900</v>
      </c>
      <c r="AV152" s="108"/>
      <c r="AW152" s="108"/>
      <c r="AX152" s="108"/>
      <c r="AY152" s="108"/>
      <c r="BA152" s="31"/>
      <c r="BB152" s="31"/>
      <c r="BC152" s="28"/>
    </row>
    <row r="153" spans="1:55" s="30" customFormat="1" ht="14.4" x14ac:dyDescent="0.3">
      <c r="A153" s="135" t="s">
        <v>31</v>
      </c>
      <c r="B153" s="28" t="s">
        <v>85</v>
      </c>
      <c r="C153" s="136"/>
      <c r="D153" s="81">
        <f>+J153+K153+L153</f>
        <v>27475.149999999998</v>
      </c>
      <c r="E153" s="82">
        <v>13570</v>
      </c>
      <c r="F153" s="82">
        <f t="shared" si="88"/>
        <v>13905.149999999998</v>
      </c>
      <c r="G153" s="83">
        <v>50725</v>
      </c>
      <c r="H153" s="82">
        <f t="shared" si="101"/>
        <v>23249.850000000002</v>
      </c>
      <c r="I153" s="72">
        <f>+D153/G153</f>
        <v>0.54164908822079838</v>
      </c>
      <c r="J153" s="105">
        <f t="shared" si="102"/>
        <v>25343.449999999997</v>
      </c>
      <c r="K153" s="106">
        <f t="shared" si="103"/>
        <v>0</v>
      </c>
      <c r="L153" s="239">
        <f t="shared" si="104"/>
        <v>2131.6999999999998</v>
      </c>
      <c r="M153" s="243" t="s">
        <v>31</v>
      </c>
      <c r="N153" s="108"/>
      <c r="O153" s="108">
        <v>401.33</v>
      </c>
      <c r="P153" s="108"/>
      <c r="Q153" s="108"/>
      <c r="R153" s="108">
        <v>1693.08</v>
      </c>
      <c r="S153" s="108">
        <v>1770.34</v>
      </c>
      <c r="T153" s="108">
        <v>1317.41</v>
      </c>
      <c r="U153" s="108">
        <v>277.95</v>
      </c>
      <c r="V153" s="108">
        <v>2444.0700000000002</v>
      </c>
      <c r="W153" s="108">
        <v>319.31</v>
      </c>
      <c r="X153" s="108"/>
      <c r="Y153" s="108"/>
      <c r="Z153" s="108"/>
      <c r="AA153" s="108"/>
      <c r="AB153" s="108"/>
      <c r="AC153" s="108">
        <v>2797.64</v>
      </c>
      <c r="AD153" s="108">
        <f>1223.5+60</f>
        <v>1283.5</v>
      </c>
      <c r="AE153" s="108"/>
      <c r="AF153" s="244">
        <v>13038.82</v>
      </c>
      <c r="AG153" s="243"/>
      <c r="AH153" s="244"/>
      <c r="AI153" s="108"/>
      <c r="AJ153" s="108"/>
      <c r="AK153" s="108">
        <v>915.6</v>
      </c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>
        <v>1216.0999999999999</v>
      </c>
      <c r="AV153" s="108"/>
      <c r="AW153" s="108"/>
      <c r="AX153" s="108"/>
      <c r="AY153" s="108"/>
      <c r="BA153" s="31"/>
      <c r="BB153" s="31"/>
      <c r="BC153" s="28"/>
    </row>
    <row r="154" spans="1:55" s="30" customFormat="1" ht="14.4" x14ac:dyDescent="0.3">
      <c r="A154" s="135"/>
      <c r="B154" s="28" t="s">
        <v>160</v>
      </c>
      <c r="C154" s="136"/>
      <c r="D154" s="81">
        <f>+J154+K154+L154</f>
        <v>4903.6900000000005</v>
      </c>
      <c r="E154" s="82">
        <v>0</v>
      </c>
      <c r="F154" s="82">
        <f t="shared" si="88"/>
        <v>4903.6900000000005</v>
      </c>
      <c r="G154" s="83">
        <v>3400</v>
      </c>
      <c r="H154" s="82">
        <f t="shared" si="101"/>
        <v>-1503.6900000000005</v>
      </c>
      <c r="I154" s="72">
        <f>+D154/G154</f>
        <v>1.4422617647058824</v>
      </c>
      <c r="J154" s="105">
        <f t="shared" si="102"/>
        <v>2220</v>
      </c>
      <c r="K154" s="106">
        <f t="shared" si="103"/>
        <v>2683.69</v>
      </c>
      <c r="L154" s="239">
        <f t="shared" si="104"/>
        <v>0</v>
      </c>
      <c r="M154" s="243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>
        <v>2220</v>
      </c>
      <c r="AD154" s="108"/>
      <c r="AE154" s="108"/>
      <c r="AF154" s="244"/>
      <c r="AG154" s="243"/>
      <c r="AH154" s="244">
        <v>2683.69</v>
      </c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BA154" s="31"/>
      <c r="BB154" s="31"/>
      <c r="BC154" s="28"/>
    </row>
    <row r="155" spans="1:55" s="30" customFormat="1" ht="14.4" x14ac:dyDescent="0.3">
      <c r="A155" s="135"/>
      <c r="B155" s="28" t="s">
        <v>86</v>
      </c>
      <c r="C155" s="136"/>
      <c r="D155" s="81">
        <f>+J155+K155+L155</f>
        <v>4261.6499999999996</v>
      </c>
      <c r="E155" s="82">
        <v>6756</v>
      </c>
      <c r="F155" s="82">
        <f t="shared" si="88"/>
        <v>-2494.3500000000004</v>
      </c>
      <c r="G155" s="83">
        <v>16520</v>
      </c>
      <c r="H155" s="82">
        <f t="shared" si="101"/>
        <v>12258.35</v>
      </c>
      <c r="I155" s="72">
        <f>+D155/G155</f>
        <v>0.2579691283292978</v>
      </c>
      <c r="J155" s="105">
        <f t="shared" si="102"/>
        <v>0</v>
      </c>
      <c r="K155" s="106">
        <f t="shared" si="103"/>
        <v>4261.6499999999996</v>
      </c>
      <c r="L155" s="239">
        <f t="shared" si="104"/>
        <v>0</v>
      </c>
      <c r="M155" s="243" t="s">
        <v>31</v>
      </c>
      <c r="N155" s="108"/>
      <c r="O155" s="108"/>
      <c r="P155" s="108"/>
      <c r="Q155" s="108"/>
      <c r="R155" s="108"/>
      <c r="S155" s="108"/>
      <c r="T155" s="108"/>
      <c r="U155" s="108"/>
      <c r="V155" s="108"/>
      <c r="W155" s="108" t="s">
        <v>31</v>
      </c>
      <c r="X155" s="108" t="s">
        <v>31</v>
      </c>
      <c r="Y155" s="108"/>
      <c r="Z155" s="108"/>
      <c r="AA155" s="108"/>
      <c r="AB155" s="108"/>
      <c r="AC155" s="108"/>
      <c r="AD155" s="108"/>
      <c r="AE155" s="108"/>
      <c r="AF155" s="244"/>
      <c r="AG155" s="243"/>
      <c r="AH155" s="244">
        <v>4261.6499999999996</v>
      </c>
      <c r="AI155" s="108" t="s">
        <v>31</v>
      </c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BA155" s="31"/>
      <c r="BB155" s="31"/>
      <c r="BC155" s="28"/>
    </row>
    <row r="156" spans="1:55" s="30" customFormat="1" ht="14.4" x14ac:dyDescent="0.3">
      <c r="A156" s="135"/>
      <c r="B156" s="28" t="s">
        <v>208</v>
      </c>
      <c r="C156" s="136"/>
      <c r="D156" s="81">
        <f>+J156+K156+L156</f>
        <v>2801.46</v>
      </c>
      <c r="E156" s="82">
        <v>0</v>
      </c>
      <c r="F156" s="82">
        <f t="shared" si="88"/>
        <v>2801.46</v>
      </c>
      <c r="G156" s="83">
        <v>0</v>
      </c>
      <c r="H156" s="82">
        <f t="shared" si="101"/>
        <v>-2801.46</v>
      </c>
      <c r="I156" s="72" t="s">
        <v>129</v>
      </c>
      <c r="J156" s="105">
        <f t="shared" si="102"/>
        <v>2801.46</v>
      </c>
      <c r="K156" s="106">
        <f t="shared" si="103"/>
        <v>0</v>
      </c>
      <c r="L156" s="239">
        <f t="shared" si="104"/>
        <v>0</v>
      </c>
      <c r="M156" s="243"/>
      <c r="N156" s="108"/>
      <c r="O156" s="108"/>
      <c r="P156" s="108"/>
      <c r="Q156" s="108"/>
      <c r="R156" s="108">
        <v>2801.46</v>
      </c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244"/>
      <c r="AG156" s="243"/>
      <c r="AH156" s="244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BA156" s="31"/>
      <c r="BB156" s="31"/>
      <c r="BC156" s="28"/>
    </row>
    <row r="157" spans="1:55" s="30" customFormat="1" ht="14.4" x14ac:dyDescent="0.3">
      <c r="A157" s="135"/>
      <c r="B157" s="28" t="s">
        <v>188</v>
      </c>
      <c r="C157" s="136"/>
      <c r="D157" s="81">
        <f t="shared" ref="D157" si="105">+J157+K157+L157</f>
        <v>2456.0500000000002</v>
      </c>
      <c r="E157" s="82">
        <v>0</v>
      </c>
      <c r="F157" s="82">
        <f t="shared" si="88"/>
        <v>2456.0500000000002</v>
      </c>
      <c r="G157" s="83">
        <v>3550</v>
      </c>
      <c r="H157" s="82">
        <f t="shared" si="101"/>
        <v>1093.9499999999998</v>
      </c>
      <c r="I157" s="72">
        <f>+D157/G157</f>
        <v>0.69184507042253529</v>
      </c>
      <c r="J157" s="105">
        <f t="shared" si="102"/>
        <v>0</v>
      </c>
      <c r="K157" s="106">
        <f t="shared" si="103"/>
        <v>0</v>
      </c>
      <c r="L157" s="239">
        <f t="shared" si="104"/>
        <v>2456.0500000000002</v>
      </c>
      <c r="M157" s="243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244"/>
      <c r="AG157" s="243"/>
      <c r="AH157" s="244"/>
      <c r="AI157" s="108"/>
      <c r="AJ157" s="108"/>
      <c r="AK157" s="108">
        <f>610.45+1845.6</f>
        <v>2456.0500000000002</v>
      </c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BA157" s="31"/>
      <c r="BB157" s="31"/>
      <c r="BC157" s="28"/>
    </row>
    <row r="158" spans="1:55" s="30" customFormat="1" ht="14.4" x14ac:dyDescent="0.3">
      <c r="A158" s="135" t="s">
        <v>31</v>
      </c>
      <c r="B158" s="28" t="s">
        <v>87</v>
      </c>
      <c r="C158" s="136"/>
      <c r="D158" s="81">
        <f>+J158+K158+L158</f>
        <v>2439.9499999999998</v>
      </c>
      <c r="E158" s="82">
        <v>2815</v>
      </c>
      <c r="F158" s="82">
        <f t="shared" si="88"/>
        <v>-375.05000000000018</v>
      </c>
      <c r="G158" s="83">
        <v>11510</v>
      </c>
      <c r="H158" s="82">
        <f t="shared" si="101"/>
        <v>9070.0499999999993</v>
      </c>
      <c r="I158" s="72">
        <f>+D158/G158</f>
        <v>0.2119852302345786</v>
      </c>
      <c r="J158" s="105">
        <f t="shared" si="102"/>
        <v>1697.6399999999999</v>
      </c>
      <c r="K158" s="106">
        <f t="shared" si="103"/>
        <v>742.31</v>
      </c>
      <c r="L158" s="239">
        <f t="shared" si="104"/>
        <v>0</v>
      </c>
      <c r="M158" s="243" t="s">
        <v>31</v>
      </c>
      <c r="N158" s="108"/>
      <c r="O158" s="108"/>
      <c r="P158" s="108"/>
      <c r="Q158" s="108"/>
      <c r="R158" s="108">
        <v>104.93</v>
      </c>
      <c r="S158" s="108"/>
      <c r="T158" s="108"/>
      <c r="U158" s="108">
        <v>128.38</v>
      </c>
      <c r="V158" s="108"/>
      <c r="W158" s="108"/>
      <c r="X158" s="108"/>
      <c r="Y158" s="108"/>
      <c r="Z158" s="108"/>
      <c r="AA158" s="108"/>
      <c r="AB158" s="108"/>
      <c r="AC158" s="108">
        <v>1464.33</v>
      </c>
      <c r="AD158" s="108"/>
      <c r="AE158" s="108"/>
      <c r="AF158" s="244"/>
      <c r="AG158" s="243"/>
      <c r="AH158" s="244">
        <v>742.31</v>
      </c>
      <c r="AI158" s="108" t="s">
        <v>31</v>
      </c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BA158" s="31"/>
      <c r="BB158" s="31"/>
      <c r="BC158" s="28"/>
    </row>
    <row r="159" spans="1:55" s="30" customFormat="1" ht="14.4" x14ac:dyDescent="0.3">
      <c r="A159" s="135"/>
      <c r="B159" s="28" t="s">
        <v>187</v>
      </c>
      <c r="C159" s="136"/>
      <c r="D159" s="81">
        <f t="shared" ref="D159" si="106">+J159+K159+L159</f>
        <v>988.62</v>
      </c>
      <c r="E159" s="82">
        <v>859</v>
      </c>
      <c r="F159" s="82">
        <f t="shared" si="88"/>
        <v>129.62</v>
      </c>
      <c r="G159" s="83">
        <v>8000</v>
      </c>
      <c r="H159" s="82">
        <f t="shared" si="101"/>
        <v>7011.38</v>
      </c>
      <c r="I159" s="72">
        <f>+D159/G159</f>
        <v>0.12357750000000001</v>
      </c>
      <c r="J159" s="105">
        <f t="shared" si="102"/>
        <v>988.62</v>
      </c>
      <c r="K159" s="106">
        <f t="shared" ref="K159" si="107">SUM(AG159:AH159)</f>
        <v>0</v>
      </c>
      <c r="L159" s="239">
        <f t="shared" si="104"/>
        <v>0</v>
      </c>
      <c r="M159" s="243"/>
      <c r="N159" s="108"/>
      <c r="O159" s="108"/>
      <c r="P159" s="108"/>
      <c r="Q159" s="108"/>
      <c r="R159" s="108">
        <v>988.62</v>
      </c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244"/>
      <c r="AG159" s="243"/>
      <c r="AH159" s="244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BA159" s="31"/>
      <c r="BB159" s="31"/>
      <c r="BC159" s="28"/>
    </row>
    <row r="160" spans="1:55" s="30" customFormat="1" ht="12" customHeight="1" x14ac:dyDescent="0.3">
      <c r="A160" s="135"/>
      <c r="B160" s="28"/>
      <c r="C160" s="136"/>
      <c r="D160" s="81" t="s">
        <v>31</v>
      </c>
      <c r="E160" s="82"/>
      <c r="F160" s="82"/>
      <c r="G160" s="83"/>
      <c r="H160" s="82"/>
      <c r="I160" s="72"/>
      <c r="J160" s="107"/>
      <c r="K160" s="108"/>
      <c r="L160" s="244"/>
      <c r="M160" s="243" t="s">
        <v>31</v>
      </c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244"/>
      <c r="AG160" s="243"/>
      <c r="AH160" s="244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 t="s">
        <v>31</v>
      </c>
      <c r="AV160" s="108"/>
      <c r="AW160" s="108"/>
      <c r="AX160" s="108"/>
      <c r="AY160" s="108"/>
      <c r="BA160" s="31"/>
      <c r="BB160" s="31"/>
      <c r="BC160" s="28"/>
    </row>
    <row r="161" spans="1:55" s="30" customFormat="1" ht="14.4" x14ac:dyDescent="0.3">
      <c r="A161" s="135" t="s">
        <v>88</v>
      </c>
      <c r="B161" s="28"/>
      <c r="C161" s="136"/>
      <c r="D161" s="81" t="s">
        <v>31</v>
      </c>
      <c r="E161" s="82"/>
      <c r="F161" s="82"/>
      <c r="G161" s="83"/>
      <c r="H161" s="82"/>
      <c r="I161" s="72"/>
      <c r="J161" s="107"/>
      <c r="K161" s="108"/>
      <c r="L161" s="244"/>
      <c r="M161" s="243" t="s">
        <v>31</v>
      </c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244"/>
      <c r="AG161" s="243"/>
      <c r="AH161" s="244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BA161" s="31"/>
      <c r="BB161" s="31"/>
      <c r="BC161" s="28"/>
    </row>
    <row r="162" spans="1:55" s="30" customFormat="1" ht="14.4" x14ac:dyDescent="0.3">
      <c r="A162" s="135"/>
      <c r="B162" s="28" t="s">
        <v>89</v>
      </c>
      <c r="C162" s="136"/>
      <c r="D162" s="81">
        <f t="shared" ref="D162:D164" si="108">+J162+K162+L162</f>
        <v>7438.05</v>
      </c>
      <c r="E162" s="82">
        <f>10926-3862</f>
        <v>7064</v>
      </c>
      <c r="F162" s="82">
        <f t="shared" si="88"/>
        <v>374.05000000000018</v>
      </c>
      <c r="G162" s="83">
        <v>12175</v>
      </c>
      <c r="H162" s="82">
        <f>+G162-D162</f>
        <v>4736.95</v>
      </c>
      <c r="I162" s="72">
        <f>+D162/G162</f>
        <v>0.61092813141683777</v>
      </c>
      <c r="J162" s="105">
        <f>SUM(M162:AF162)</f>
        <v>5254.42</v>
      </c>
      <c r="K162" s="106">
        <f t="shared" ref="K162:K164" si="109">SUM(AG162:AH162)</f>
        <v>312.01</v>
      </c>
      <c r="L162" s="239">
        <f>SUM(AI162:AY162)</f>
        <v>1871.62</v>
      </c>
      <c r="M162" s="243"/>
      <c r="N162" s="108"/>
      <c r="O162" s="108">
        <v>50</v>
      </c>
      <c r="P162" s="108">
        <v>464.3</v>
      </c>
      <c r="Q162" s="108" t="s">
        <v>31</v>
      </c>
      <c r="R162" s="108">
        <f>303.32+323.24</f>
        <v>626.55999999999995</v>
      </c>
      <c r="S162" s="108">
        <v>509.04</v>
      </c>
      <c r="T162" s="108">
        <v>275.36</v>
      </c>
      <c r="U162" s="108"/>
      <c r="V162" s="108">
        <v>82.17</v>
      </c>
      <c r="W162" s="108">
        <v>623.88</v>
      </c>
      <c r="X162" s="108"/>
      <c r="Y162" s="108"/>
      <c r="Z162" s="108"/>
      <c r="AA162" s="108" t="s">
        <v>31</v>
      </c>
      <c r="AB162" s="108"/>
      <c r="AC162" s="108">
        <v>631.05999999999995</v>
      </c>
      <c r="AD162" s="108">
        <f>1429.55+562.5</f>
        <v>1992.05</v>
      </c>
      <c r="AE162" s="108"/>
      <c r="AF162" s="244"/>
      <c r="AG162" s="243">
        <v>53.25</v>
      </c>
      <c r="AH162" s="244">
        <f>162.48+96.28</f>
        <v>258.76</v>
      </c>
      <c r="AI162" s="108"/>
      <c r="AJ162" s="108" t="s">
        <v>31</v>
      </c>
      <c r="AK162" s="108" t="s">
        <v>31</v>
      </c>
      <c r="AL162" s="108"/>
      <c r="AM162" s="108"/>
      <c r="AN162" s="108"/>
      <c r="AO162" s="108"/>
      <c r="AP162" s="108">
        <f>127.19+319.43</f>
        <v>446.62</v>
      </c>
      <c r="AQ162" s="108"/>
      <c r="AR162" s="108"/>
      <c r="AS162" s="108" t="s">
        <v>31</v>
      </c>
      <c r="AT162" s="108"/>
      <c r="AU162" s="108">
        <v>1425</v>
      </c>
      <c r="AV162" s="108"/>
      <c r="AW162" s="108"/>
      <c r="AX162" s="108"/>
      <c r="AY162" s="108"/>
      <c r="BA162" s="31"/>
      <c r="BB162" s="31"/>
      <c r="BC162" s="28"/>
    </row>
    <row r="163" spans="1:55" s="30" customFormat="1" ht="14.4" x14ac:dyDescent="0.3">
      <c r="A163" s="135"/>
      <c r="B163" s="28" t="s">
        <v>161</v>
      </c>
      <c r="C163" s="136"/>
      <c r="D163" s="81">
        <f t="shared" si="108"/>
        <v>3936.4799999999996</v>
      </c>
      <c r="E163" s="82">
        <v>3862</v>
      </c>
      <c r="F163" s="82">
        <f t="shared" si="88"/>
        <v>74.479999999999563</v>
      </c>
      <c r="G163" s="83">
        <v>7900</v>
      </c>
      <c r="H163" s="82">
        <f>+G163-D163</f>
        <v>3963.5200000000004</v>
      </c>
      <c r="I163" s="72">
        <f>+D163/G163</f>
        <v>0.49828860759493665</v>
      </c>
      <c r="J163" s="105">
        <f>SUM(M163:AF163)</f>
        <v>3936.4799999999996</v>
      </c>
      <c r="K163" s="106">
        <f t="shared" si="109"/>
        <v>0</v>
      </c>
      <c r="L163" s="239">
        <f>SUM(AI163:AY163)</f>
        <v>0</v>
      </c>
      <c r="M163" s="243"/>
      <c r="N163" s="108"/>
      <c r="O163" s="108"/>
      <c r="P163" s="108"/>
      <c r="Q163" s="108"/>
      <c r="R163" s="108">
        <f>185.34+171.48</f>
        <v>356.82</v>
      </c>
      <c r="S163" s="108"/>
      <c r="T163" s="108"/>
      <c r="U163" s="108"/>
      <c r="V163" s="108"/>
      <c r="W163" s="108"/>
      <c r="X163" s="108"/>
      <c r="Y163" s="108"/>
      <c r="Z163" s="108"/>
      <c r="AA163" s="108">
        <v>2314.4899999999998</v>
      </c>
      <c r="AB163" s="108"/>
      <c r="AC163" s="108">
        <v>142.69999999999999</v>
      </c>
      <c r="AD163" s="108"/>
      <c r="AE163" s="108"/>
      <c r="AF163" s="244">
        <v>1122.47</v>
      </c>
      <c r="AG163" s="243"/>
      <c r="AH163" s="244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BA163" s="31"/>
      <c r="BB163" s="31"/>
      <c r="BC163" s="28"/>
    </row>
    <row r="164" spans="1:55" s="30" customFormat="1" ht="14.4" x14ac:dyDescent="0.3">
      <c r="A164" s="135"/>
      <c r="B164" s="28" t="s">
        <v>83</v>
      </c>
      <c r="C164" s="136"/>
      <c r="D164" s="81">
        <f t="shared" si="108"/>
        <v>3901.13</v>
      </c>
      <c r="E164" s="82">
        <v>1167</v>
      </c>
      <c r="F164" s="82">
        <f t="shared" si="88"/>
        <v>2734.13</v>
      </c>
      <c r="G164" s="83">
        <v>4800</v>
      </c>
      <c r="H164" s="82">
        <f>+G164-D164</f>
        <v>898.86999999999989</v>
      </c>
      <c r="I164" s="72">
        <f>+D164/G164</f>
        <v>0.81273541666666671</v>
      </c>
      <c r="J164" s="105">
        <f>SUM(M164:AF164)</f>
        <v>3768.08</v>
      </c>
      <c r="K164" s="106">
        <f t="shared" si="109"/>
        <v>133.05000000000001</v>
      </c>
      <c r="L164" s="239">
        <f>SUM(AI164:AY164)</f>
        <v>0</v>
      </c>
      <c r="M164" s="243" t="s">
        <v>31</v>
      </c>
      <c r="N164" s="108"/>
      <c r="O164" s="108">
        <f>263.43+138.89</f>
        <v>402.32</v>
      </c>
      <c r="P164" s="108">
        <v>451.33</v>
      </c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>
        <v>159.19999999999999</v>
      </c>
      <c r="AD164" s="108">
        <f>762.91+676.55-111.41-37.5+438.69+1020.47</f>
        <v>2749.71</v>
      </c>
      <c r="AE164" s="108"/>
      <c r="AF164" s="244">
        <v>5.52</v>
      </c>
      <c r="AG164" s="243"/>
      <c r="AH164" s="244">
        <f>73.21+59.84</f>
        <v>133.05000000000001</v>
      </c>
      <c r="AI164" s="108" t="s">
        <v>31</v>
      </c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BA164" s="31"/>
      <c r="BB164" s="31"/>
      <c r="BC164" s="28"/>
    </row>
    <row r="165" spans="1:55" s="30" customFormat="1" ht="12" customHeight="1" x14ac:dyDescent="0.3">
      <c r="A165" s="135"/>
      <c r="B165" s="28"/>
      <c r="C165" s="136"/>
      <c r="D165" s="81" t="s">
        <v>31</v>
      </c>
      <c r="E165" s="82"/>
      <c r="F165" s="82"/>
      <c r="G165" s="83"/>
      <c r="H165" s="82"/>
      <c r="I165" s="72"/>
      <c r="J165" s="107"/>
      <c r="K165" s="108"/>
      <c r="L165" s="244"/>
      <c r="M165" s="243" t="s">
        <v>31</v>
      </c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244"/>
      <c r="AG165" s="243"/>
      <c r="AH165" s="244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  <c r="BA165" s="31"/>
      <c r="BB165" s="31"/>
      <c r="BC165" s="28"/>
    </row>
    <row r="166" spans="1:55" s="30" customFormat="1" ht="14.4" x14ac:dyDescent="0.3">
      <c r="A166" s="135" t="s">
        <v>90</v>
      </c>
      <c r="B166" s="28"/>
      <c r="C166" s="136"/>
      <c r="D166" s="81" t="s">
        <v>31</v>
      </c>
      <c r="E166" s="82"/>
      <c r="F166" s="82"/>
      <c r="G166" s="83"/>
      <c r="H166" s="82"/>
      <c r="I166" s="72"/>
      <c r="J166" s="107"/>
      <c r="K166" s="108"/>
      <c r="L166" s="244"/>
      <c r="M166" s="243" t="s">
        <v>31</v>
      </c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244"/>
      <c r="AG166" s="243"/>
      <c r="AH166" s="244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  <c r="AX166" s="108"/>
      <c r="AY166" s="108"/>
      <c r="BA166" s="31"/>
      <c r="BB166" s="31"/>
      <c r="BC166" s="28"/>
    </row>
    <row r="167" spans="1:55" s="30" customFormat="1" ht="14.4" x14ac:dyDescent="0.3">
      <c r="A167" s="135"/>
      <c r="B167" s="28" t="s">
        <v>91</v>
      </c>
      <c r="C167" s="136"/>
      <c r="D167" s="81">
        <f t="shared" ref="D167:D169" si="110">+J167+K167+L167</f>
        <v>81122.989999999991</v>
      </c>
      <c r="E167" s="82">
        <v>20997</v>
      </c>
      <c r="F167" s="82">
        <f t="shared" si="88"/>
        <v>60125.989999999991</v>
      </c>
      <c r="G167" s="83">
        <v>32910</v>
      </c>
      <c r="H167" s="82">
        <f>+G167-D167</f>
        <v>-48212.989999999991</v>
      </c>
      <c r="I167" s="72">
        <f>+D167/G167</f>
        <v>2.464995138255849</v>
      </c>
      <c r="J167" s="105">
        <f>SUM(M167:AF167)</f>
        <v>29843.96</v>
      </c>
      <c r="K167" s="106">
        <f t="shared" ref="K167:K169" si="111">SUM(AG167:AH167)</f>
        <v>10843.94</v>
      </c>
      <c r="L167" s="239">
        <f>SUM(AI167:AY167)</f>
        <v>40435.089999999997</v>
      </c>
      <c r="M167" s="243" t="s">
        <v>31</v>
      </c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>
        <v>29843.96</v>
      </c>
      <c r="AB167" s="108"/>
      <c r="AC167" s="108"/>
      <c r="AD167" s="108"/>
      <c r="AE167" s="108"/>
      <c r="AF167" s="244"/>
      <c r="AG167" s="243">
        <v>10843.94</v>
      </c>
      <c r="AH167" s="244"/>
      <c r="AI167" s="108"/>
      <c r="AJ167" s="108">
        <v>40435.089999999997</v>
      </c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  <c r="BA167" s="31"/>
      <c r="BB167" s="31"/>
      <c r="BC167" s="28"/>
    </row>
    <row r="168" spans="1:55" s="30" customFormat="1" ht="14.4" x14ac:dyDescent="0.3">
      <c r="A168" s="135"/>
      <c r="B168" s="28" t="s">
        <v>134</v>
      </c>
      <c r="C168" s="136"/>
      <c r="D168" s="81">
        <f t="shared" si="110"/>
        <v>49530</v>
      </c>
      <c r="E168" s="82">
        <v>0</v>
      </c>
      <c r="F168" s="82">
        <f t="shared" si="88"/>
        <v>49530</v>
      </c>
      <c r="G168" s="83">
        <v>0</v>
      </c>
      <c r="H168" s="82">
        <f>+G168-D168</f>
        <v>-49530</v>
      </c>
      <c r="I168" s="72" t="s">
        <v>129</v>
      </c>
      <c r="J168" s="105">
        <f>SUM(M168:AF168)</f>
        <v>23715.95</v>
      </c>
      <c r="K168" s="106">
        <f t="shared" si="111"/>
        <v>0</v>
      </c>
      <c r="L168" s="239">
        <f>SUM(AI168:AY168)</f>
        <v>25814.05</v>
      </c>
      <c r="M168" s="243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>
        <v>23715.95</v>
      </c>
      <c r="AB168" s="108"/>
      <c r="AC168" s="108"/>
      <c r="AD168" s="108"/>
      <c r="AE168" s="108"/>
      <c r="AF168" s="244"/>
      <c r="AG168" s="243"/>
      <c r="AH168" s="244"/>
      <c r="AI168" s="108"/>
      <c r="AJ168" s="108">
        <v>25814.05</v>
      </c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8"/>
      <c r="BA168" s="31"/>
      <c r="BB168" s="31"/>
      <c r="BC168" s="28"/>
    </row>
    <row r="169" spans="1:55" s="30" customFormat="1" ht="14.4" x14ac:dyDescent="0.3">
      <c r="A169" s="135"/>
      <c r="B169" s="28" t="s">
        <v>92</v>
      </c>
      <c r="C169" s="136"/>
      <c r="D169" s="81">
        <f t="shared" si="110"/>
        <v>13066.67</v>
      </c>
      <c r="E169" s="82">
        <v>13993</v>
      </c>
      <c r="F169" s="82">
        <f t="shared" si="88"/>
        <v>-926.32999999999993</v>
      </c>
      <c r="G169" s="83">
        <v>10895</v>
      </c>
      <c r="H169" s="82">
        <f>+G169-D169</f>
        <v>-2171.67</v>
      </c>
      <c r="I169" s="72">
        <f>+D169/G169</f>
        <v>1.1993272143184948</v>
      </c>
      <c r="J169" s="105">
        <f>SUM(M169:AF169)</f>
        <v>13066.67</v>
      </c>
      <c r="K169" s="106">
        <f t="shared" si="111"/>
        <v>0</v>
      </c>
      <c r="L169" s="239">
        <f>SUM(AI169:AY169)</f>
        <v>0</v>
      </c>
      <c r="M169" s="243" t="s">
        <v>31</v>
      </c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>
        <v>13066.67</v>
      </c>
      <c r="AE169" s="108"/>
      <c r="AF169" s="244"/>
      <c r="AG169" s="243"/>
      <c r="AH169" s="244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  <c r="BA169" s="31"/>
      <c r="BB169" s="31"/>
      <c r="BC169" s="28"/>
    </row>
    <row r="170" spans="1:55" s="30" customFormat="1" ht="12" customHeight="1" x14ac:dyDescent="0.3">
      <c r="A170" s="135"/>
      <c r="B170" s="28"/>
      <c r="C170" s="136"/>
      <c r="D170" s="81" t="s">
        <v>31</v>
      </c>
      <c r="E170" s="82"/>
      <c r="F170" s="82"/>
      <c r="G170" s="83"/>
      <c r="H170" s="82"/>
      <c r="I170" s="72"/>
      <c r="J170" s="107"/>
      <c r="K170" s="108"/>
      <c r="L170" s="244"/>
      <c r="M170" s="243" t="s">
        <v>31</v>
      </c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244"/>
      <c r="AG170" s="243"/>
      <c r="AH170" s="244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BA170" s="31"/>
      <c r="BB170" s="31"/>
      <c r="BC170" s="28"/>
    </row>
    <row r="171" spans="1:55" s="30" customFormat="1" ht="14.4" x14ac:dyDescent="0.3">
      <c r="A171" s="135" t="s">
        <v>93</v>
      </c>
      <c r="B171" s="28"/>
      <c r="C171" s="136"/>
      <c r="D171" s="81" t="s">
        <v>31</v>
      </c>
      <c r="E171" s="82"/>
      <c r="F171" s="82"/>
      <c r="G171" s="83"/>
      <c r="H171" s="82"/>
      <c r="I171" s="72"/>
      <c r="J171" s="107"/>
      <c r="K171" s="108"/>
      <c r="L171" s="244"/>
      <c r="M171" s="243" t="s">
        <v>31</v>
      </c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244"/>
      <c r="AG171" s="243"/>
      <c r="AH171" s="244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  <c r="BA171" s="31"/>
      <c r="BB171" s="31"/>
      <c r="BC171" s="28"/>
    </row>
    <row r="172" spans="1:55" s="28" customFormat="1" ht="14.4" x14ac:dyDescent="0.3">
      <c r="A172" s="135"/>
      <c r="B172" s="28" t="s">
        <v>94</v>
      </c>
      <c r="C172" s="136"/>
      <c r="D172" s="81">
        <f t="shared" ref="D172:D174" si="112">+J172+K172+L172</f>
        <v>9131.6999999999989</v>
      </c>
      <c r="E172" s="82">
        <v>8997</v>
      </c>
      <c r="F172" s="82">
        <f t="shared" si="88"/>
        <v>134.69999999999891</v>
      </c>
      <c r="G172" s="83">
        <v>8000</v>
      </c>
      <c r="H172" s="82">
        <f>+G172-D172</f>
        <v>-1131.6999999999989</v>
      </c>
      <c r="I172" s="72">
        <f>+D172/G172</f>
        <v>1.1414624999999998</v>
      </c>
      <c r="J172" s="105">
        <f>SUM(M172:AF172)</f>
        <v>8096.05</v>
      </c>
      <c r="K172" s="106">
        <f t="shared" ref="K172:K174" si="113">SUM(AG172:AH172)</f>
        <v>608.25</v>
      </c>
      <c r="L172" s="239">
        <f>SUM(AI172:AY172)</f>
        <v>427.40000000000003</v>
      </c>
      <c r="M172" s="243" t="s">
        <v>31</v>
      </c>
      <c r="N172" s="108"/>
      <c r="O172" s="108"/>
      <c r="P172" s="108"/>
      <c r="Q172" s="108"/>
      <c r="R172" s="108"/>
      <c r="S172" s="108"/>
      <c r="T172" s="108"/>
      <c r="U172" s="108"/>
      <c r="V172" s="108"/>
      <c r="W172" s="108">
        <v>2236.04</v>
      </c>
      <c r="X172" s="108">
        <v>871.41</v>
      </c>
      <c r="Y172" s="108"/>
      <c r="Z172" s="108"/>
      <c r="AA172" s="108"/>
      <c r="AB172" s="108"/>
      <c r="AC172" s="108"/>
      <c r="AD172" s="108">
        <f>4048.39+940.21</f>
        <v>4988.6000000000004</v>
      </c>
      <c r="AE172" s="108"/>
      <c r="AF172" s="244"/>
      <c r="AG172" s="243">
        <v>309.95</v>
      </c>
      <c r="AH172" s="244">
        <v>298.3</v>
      </c>
      <c r="AI172" s="108">
        <v>157.58000000000001</v>
      </c>
      <c r="AJ172" s="108">
        <v>227.25</v>
      </c>
      <c r="AK172" s="108"/>
      <c r="AL172" s="108"/>
      <c r="AM172" s="108"/>
      <c r="AN172" s="108"/>
      <c r="AO172" s="108"/>
      <c r="AP172" s="108">
        <v>42.57</v>
      </c>
      <c r="AQ172" s="108"/>
      <c r="AR172" s="108"/>
      <c r="AS172" s="108"/>
      <c r="AT172" s="108"/>
      <c r="AU172" s="108"/>
      <c r="AV172" s="108"/>
      <c r="AW172" s="108"/>
      <c r="AX172" s="108"/>
      <c r="AY172" s="108"/>
      <c r="AZ172" s="30"/>
      <c r="BA172" s="31"/>
      <c r="BB172" s="31"/>
    </row>
    <row r="173" spans="1:55" s="28" customFormat="1" ht="14.4" x14ac:dyDescent="0.3">
      <c r="A173" s="135"/>
      <c r="B173" s="28" t="s">
        <v>95</v>
      </c>
      <c r="C173" s="136"/>
      <c r="D173" s="81">
        <f t="shared" si="112"/>
        <v>341.95</v>
      </c>
      <c r="E173" s="82">
        <v>240</v>
      </c>
      <c r="F173" s="82">
        <f t="shared" si="88"/>
        <v>101.94999999999999</v>
      </c>
      <c r="G173" s="83">
        <v>693</v>
      </c>
      <c r="H173" s="82">
        <f>+G173-D173</f>
        <v>351.05</v>
      </c>
      <c r="I173" s="72">
        <f>+D173/G173</f>
        <v>0.49343434343434339</v>
      </c>
      <c r="J173" s="105">
        <f>SUM(M173:AF173)</f>
        <v>341.95</v>
      </c>
      <c r="K173" s="106">
        <f t="shared" si="113"/>
        <v>0</v>
      </c>
      <c r="L173" s="239">
        <f>SUM(AI173:AY173)</f>
        <v>0</v>
      </c>
      <c r="M173" s="243" t="s">
        <v>31</v>
      </c>
      <c r="N173" s="108"/>
      <c r="O173" s="108">
        <v>50</v>
      </c>
      <c r="P173" s="108">
        <v>51.95</v>
      </c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>
        <v>240</v>
      </c>
      <c r="AE173" s="108"/>
      <c r="AF173" s="244"/>
      <c r="AG173" s="243"/>
      <c r="AH173" s="244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  <c r="AZ173" s="30"/>
      <c r="BA173" s="31"/>
      <c r="BB173" s="31"/>
    </row>
    <row r="174" spans="1:55" s="28" customFormat="1" ht="14.4" x14ac:dyDescent="0.3">
      <c r="A174" s="135"/>
      <c r="B174" s="28" t="s">
        <v>96</v>
      </c>
      <c r="C174" s="136"/>
      <c r="D174" s="81">
        <f t="shared" si="112"/>
        <v>167.95</v>
      </c>
      <c r="E174" s="82">
        <v>708</v>
      </c>
      <c r="F174" s="82">
        <f t="shared" si="88"/>
        <v>-540.04999999999995</v>
      </c>
      <c r="G174" s="83">
        <v>500</v>
      </c>
      <c r="H174" s="82">
        <f>+G174-D174</f>
        <v>332.05</v>
      </c>
      <c r="I174" s="72">
        <f>+D174/G174</f>
        <v>0.33589999999999998</v>
      </c>
      <c r="J174" s="105">
        <f>SUM(M174:AF174)</f>
        <v>167.95</v>
      </c>
      <c r="K174" s="106">
        <f t="shared" si="113"/>
        <v>0</v>
      </c>
      <c r="L174" s="239">
        <f>SUM(AI174:AY174)</f>
        <v>0</v>
      </c>
      <c r="M174" s="243" t="s">
        <v>31</v>
      </c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>
        <f>97+70.95</f>
        <v>167.95</v>
      </c>
      <c r="AE174" s="108"/>
      <c r="AF174" s="244"/>
      <c r="AG174" s="243"/>
      <c r="AH174" s="244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8"/>
      <c r="AY174" s="108"/>
      <c r="AZ174" s="30"/>
      <c r="BA174" s="31"/>
      <c r="BB174" s="31"/>
    </row>
    <row r="175" spans="1:55" s="28" customFormat="1" ht="12" customHeight="1" x14ac:dyDescent="0.3">
      <c r="A175" s="135"/>
      <c r="C175" s="136"/>
      <c r="D175" s="81" t="s">
        <v>31</v>
      </c>
      <c r="E175" s="82"/>
      <c r="F175" s="82"/>
      <c r="G175" s="83"/>
      <c r="H175" s="82"/>
      <c r="I175" s="72"/>
      <c r="J175" s="107"/>
      <c r="K175" s="108"/>
      <c r="L175" s="244"/>
      <c r="M175" s="243" t="s">
        <v>31</v>
      </c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244"/>
      <c r="AG175" s="243"/>
      <c r="AH175" s="244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8"/>
      <c r="AZ175" s="30"/>
      <c r="BA175" s="31"/>
      <c r="BB175" s="31"/>
    </row>
    <row r="176" spans="1:55" s="28" customFormat="1" ht="14.4" x14ac:dyDescent="0.3">
      <c r="A176" s="135" t="s">
        <v>210</v>
      </c>
      <c r="C176" s="136"/>
      <c r="D176" s="81" t="s">
        <v>31</v>
      </c>
      <c r="E176" s="82"/>
      <c r="F176" s="82"/>
      <c r="G176" s="83"/>
      <c r="H176" s="82"/>
      <c r="I176" s="72"/>
      <c r="J176" s="107"/>
      <c r="K176" s="108"/>
      <c r="L176" s="244"/>
      <c r="M176" s="243" t="s">
        <v>31</v>
      </c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244"/>
      <c r="AG176" s="243"/>
      <c r="AH176" s="244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  <c r="AZ176" s="30"/>
      <c r="BA176" s="31"/>
      <c r="BB176" s="31"/>
    </row>
    <row r="177" spans="1:55" s="28" customFormat="1" ht="14.4" x14ac:dyDescent="0.3">
      <c r="A177" s="135"/>
      <c r="B177" s="28" t="s">
        <v>98</v>
      </c>
      <c r="C177" s="136"/>
      <c r="D177" s="81">
        <f>+J177+K177+L177</f>
        <v>24000</v>
      </c>
      <c r="E177" s="82">
        <v>21000</v>
      </c>
      <c r="F177" s="82">
        <f t="shared" si="88"/>
        <v>3000</v>
      </c>
      <c r="G177" s="83">
        <v>12000</v>
      </c>
      <c r="H177" s="82">
        <f t="shared" ref="H177:H185" si="114">+G177-D177</f>
        <v>-12000</v>
      </c>
      <c r="I177" s="72">
        <f>+D177/G177</f>
        <v>2</v>
      </c>
      <c r="J177" s="105">
        <f t="shared" ref="J177:J185" si="115">SUM(M177:AF177)</f>
        <v>0</v>
      </c>
      <c r="K177" s="106">
        <f>SUM(AG177:AH177)</f>
        <v>0</v>
      </c>
      <c r="L177" s="239">
        <f t="shared" ref="L177:L185" si="116">SUM(AI177:AY177)</f>
        <v>24000</v>
      </c>
      <c r="M177" s="243" t="s">
        <v>31</v>
      </c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244"/>
      <c r="AG177" s="243"/>
      <c r="AH177" s="244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08"/>
      <c r="AY177" s="108">
        <v>24000</v>
      </c>
      <c r="AZ177" s="30"/>
      <c r="BA177" s="31"/>
      <c r="BB177" s="31"/>
    </row>
    <row r="178" spans="1:55" s="28" customFormat="1" ht="14.4" x14ac:dyDescent="0.3">
      <c r="A178" s="135"/>
      <c r="B178" s="28" t="s">
        <v>97</v>
      </c>
      <c r="C178" s="136"/>
      <c r="D178" s="81">
        <f t="shared" ref="D178:D185" si="117">+J178+K178+L178</f>
        <v>19100</v>
      </c>
      <c r="E178" s="82">
        <v>2379</v>
      </c>
      <c r="F178" s="82">
        <f t="shared" si="88"/>
        <v>16721</v>
      </c>
      <c r="G178" s="83">
        <v>19000</v>
      </c>
      <c r="H178" s="82">
        <f t="shared" si="114"/>
        <v>-100</v>
      </c>
      <c r="I178" s="72">
        <f>+D178/G178</f>
        <v>1.0052631578947369</v>
      </c>
      <c r="J178" s="105">
        <f t="shared" si="115"/>
        <v>19100</v>
      </c>
      <c r="K178" s="106">
        <f t="shared" ref="K178:K185" si="118">SUM(AG178:AH178)</f>
        <v>0</v>
      </c>
      <c r="L178" s="239">
        <f t="shared" si="116"/>
        <v>0</v>
      </c>
      <c r="M178" s="243" t="s">
        <v>31</v>
      </c>
      <c r="N178" s="108"/>
      <c r="O178" s="108"/>
      <c r="P178" s="108"/>
      <c r="Q178" s="108"/>
      <c r="R178" s="108">
        <v>600</v>
      </c>
      <c r="S178" s="108"/>
      <c r="T178" s="108"/>
      <c r="U178" s="108"/>
      <c r="V178" s="108"/>
      <c r="W178" s="108">
        <v>8000</v>
      </c>
      <c r="X178" s="108">
        <v>10500</v>
      </c>
      <c r="Y178" s="108"/>
      <c r="Z178" s="108"/>
      <c r="AA178" s="108"/>
      <c r="AB178" s="108"/>
      <c r="AC178" s="108"/>
      <c r="AD178" s="108"/>
      <c r="AE178" s="108"/>
      <c r="AF178" s="244"/>
      <c r="AG178" s="243"/>
      <c r="AH178" s="244"/>
      <c r="AI178" s="108" t="s">
        <v>31</v>
      </c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30"/>
      <c r="BA178" s="31"/>
      <c r="BB178" s="31"/>
    </row>
    <row r="179" spans="1:55" s="28" customFormat="1" ht="14.4" x14ac:dyDescent="0.3">
      <c r="A179" s="135"/>
      <c r="B179" s="28" t="s">
        <v>100</v>
      </c>
      <c r="C179" s="136"/>
      <c r="D179" s="81">
        <f t="shared" ref="D179:D184" si="119">+J179+K179+L179</f>
        <v>19461</v>
      </c>
      <c r="E179" s="82">
        <v>0</v>
      </c>
      <c r="F179" s="82">
        <f t="shared" si="88"/>
        <v>19461</v>
      </c>
      <c r="G179" s="83">
        <v>0</v>
      </c>
      <c r="H179" s="82">
        <f t="shared" si="114"/>
        <v>-19461</v>
      </c>
      <c r="I179" s="72" t="s">
        <v>129</v>
      </c>
      <c r="J179" s="105">
        <f t="shared" si="115"/>
        <v>0</v>
      </c>
      <c r="K179" s="106">
        <f t="shared" ref="K179:K184" si="120">SUM(AG179:AH179)</f>
        <v>0</v>
      </c>
      <c r="L179" s="239">
        <f t="shared" si="116"/>
        <v>19461</v>
      </c>
      <c r="M179" s="243" t="s">
        <v>31</v>
      </c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244"/>
      <c r="AG179" s="243"/>
      <c r="AH179" s="244"/>
      <c r="AI179" s="108">
        <v>19461</v>
      </c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08"/>
      <c r="AW179" s="108"/>
      <c r="AX179" s="108"/>
      <c r="AY179" s="108"/>
      <c r="AZ179" s="30"/>
      <c r="BA179" s="31"/>
      <c r="BB179" s="31"/>
    </row>
    <row r="180" spans="1:55" s="28" customFormat="1" ht="14.4" x14ac:dyDescent="0.3">
      <c r="A180" s="135"/>
      <c r="C180" s="136" t="s">
        <v>137</v>
      </c>
      <c r="D180" s="81">
        <f t="shared" si="119"/>
        <v>0</v>
      </c>
      <c r="E180" s="82">
        <v>11440</v>
      </c>
      <c r="F180" s="82">
        <f t="shared" si="88"/>
        <v>-11440</v>
      </c>
      <c r="G180" s="83">
        <v>600</v>
      </c>
      <c r="H180" s="82">
        <f t="shared" si="114"/>
        <v>600</v>
      </c>
      <c r="I180" s="72">
        <f>+D180/G180</f>
        <v>0</v>
      </c>
      <c r="J180" s="105">
        <f t="shared" si="115"/>
        <v>0</v>
      </c>
      <c r="K180" s="106">
        <f t="shared" si="120"/>
        <v>0</v>
      </c>
      <c r="L180" s="239">
        <f t="shared" si="116"/>
        <v>0</v>
      </c>
      <c r="M180" s="243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244"/>
      <c r="AG180" s="243"/>
      <c r="AH180" s="244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  <c r="AW180" s="108"/>
      <c r="AX180" s="108"/>
      <c r="AY180" s="108"/>
      <c r="AZ180" s="30"/>
      <c r="BA180" s="31"/>
      <c r="BB180" s="31"/>
    </row>
    <row r="181" spans="1:55" s="28" customFormat="1" ht="14.4" x14ac:dyDescent="0.3">
      <c r="A181" s="135"/>
      <c r="C181" s="136" t="s">
        <v>141</v>
      </c>
      <c r="D181" s="81">
        <f t="shared" si="119"/>
        <v>9227.15</v>
      </c>
      <c r="E181" s="82">
        <f>527295-35000</f>
        <v>492295</v>
      </c>
      <c r="F181" s="82">
        <f t="shared" si="88"/>
        <v>-483067.85</v>
      </c>
      <c r="G181" s="83">
        <v>100068</v>
      </c>
      <c r="H181" s="82">
        <f t="shared" si="114"/>
        <v>90840.85</v>
      </c>
      <c r="I181" s="72">
        <f>+D181/G181</f>
        <v>9.2208798017348201E-2</v>
      </c>
      <c r="J181" s="105">
        <f t="shared" si="115"/>
        <v>0</v>
      </c>
      <c r="K181" s="106">
        <f t="shared" si="120"/>
        <v>0</v>
      </c>
      <c r="L181" s="239">
        <f t="shared" si="116"/>
        <v>9227.15</v>
      </c>
      <c r="M181" s="243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244"/>
      <c r="AG181" s="243"/>
      <c r="AH181" s="244"/>
      <c r="AI181" s="108">
        <v>9227.15</v>
      </c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108"/>
      <c r="AY181" s="108"/>
      <c r="AZ181" s="30"/>
      <c r="BA181" s="31"/>
      <c r="BB181" s="31"/>
    </row>
    <row r="182" spans="1:55" s="28" customFormat="1" ht="14.4" x14ac:dyDescent="0.3">
      <c r="A182" s="135"/>
      <c r="C182" s="136" t="s">
        <v>101</v>
      </c>
      <c r="D182" s="81">
        <f t="shared" si="119"/>
        <v>32442.82</v>
      </c>
      <c r="E182" s="82">
        <v>12000</v>
      </c>
      <c r="F182" s="82">
        <f t="shared" si="88"/>
        <v>20442.82</v>
      </c>
      <c r="G182" s="83">
        <v>50020</v>
      </c>
      <c r="H182" s="82">
        <f t="shared" si="114"/>
        <v>17577.18</v>
      </c>
      <c r="I182" s="72">
        <f>+D182/G182</f>
        <v>0.6485969612155138</v>
      </c>
      <c r="J182" s="105">
        <f t="shared" si="115"/>
        <v>0</v>
      </c>
      <c r="K182" s="106">
        <f t="shared" si="120"/>
        <v>0</v>
      </c>
      <c r="L182" s="239">
        <f t="shared" si="116"/>
        <v>32442.82</v>
      </c>
      <c r="M182" s="243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244"/>
      <c r="AG182" s="243"/>
      <c r="AH182" s="244"/>
      <c r="AI182" s="108">
        <v>32442.82</v>
      </c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08"/>
      <c r="AY182" s="108"/>
      <c r="AZ182" s="30"/>
      <c r="BA182" s="31"/>
      <c r="BB182" s="31"/>
    </row>
    <row r="183" spans="1:55" s="28" customFormat="1" ht="14.4" x14ac:dyDescent="0.3">
      <c r="A183" s="135"/>
      <c r="C183" s="136" t="s">
        <v>102</v>
      </c>
      <c r="D183" s="81">
        <f t="shared" si="119"/>
        <v>7285</v>
      </c>
      <c r="E183" s="82">
        <v>1945</v>
      </c>
      <c r="F183" s="82">
        <f t="shared" si="88"/>
        <v>5340</v>
      </c>
      <c r="G183" s="83">
        <v>9000</v>
      </c>
      <c r="H183" s="82">
        <f t="shared" si="114"/>
        <v>1715</v>
      </c>
      <c r="I183" s="72">
        <f>+D183/G183</f>
        <v>0.80944444444444441</v>
      </c>
      <c r="J183" s="105">
        <f t="shared" si="115"/>
        <v>0</v>
      </c>
      <c r="K183" s="106">
        <f>SUM(AG183:AH183)</f>
        <v>0</v>
      </c>
      <c r="L183" s="239">
        <f t="shared" si="116"/>
        <v>7285</v>
      </c>
      <c r="M183" s="243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244"/>
      <c r="AG183" s="243"/>
      <c r="AH183" s="244"/>
      <c r="AI183" s="108">
        <v>7285</v>
      </c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8"/>
      <c r="AY183" s="108"/>
      <c r="AZ183" s="30"/>
      <c r="BA183" s="31"/>
      <c r="BB183" s="31"/>
    </row>
    <row r="184" spans="1:55" s="28" customFormat="1" ht="14.4" x14ac:dyDescent="0.3">
      <c r="A184" s="135"/>
      <c r="B184" s="28" t="s">
        <v>123</v>
      </c>
      <c r="C184" s="136"/>
      <c r="D184" s="81">
        <f t="shared" si="119"/>
        <v>120435.79000000001</v>
      </c>
      <c r="E184" s="82">
        <v>124270</v>
      </c>
      <c r="F184" s="82">
        <f t="shared" si="88"/>
        <v>-3834.2099999999919</v>
      </c>
      <c r="G184" s="83">
        <v>0</v>
      </c>
      <c r="H184" s="82">
        <f t="shared" si="114"/>
        <v>-120435.79000000001</v>
      </c>
      <c r="I184" s="72" t="s">
        <v>129</v>
      </c>
      <c r="J184" s="105">
        <f t="shared" si="115"/>
        <v>0</v>
      </c>
      <c r="K184" s="106">
        <f t="shared" si="120"/>
        <v>0</v>
      </c>
      <c r="L184" s="239">
        <f t="shared" si="116"/>
        <v>120435.79000000001</v>
      </c>
      <c r="M184" s="243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244"/>
      <c r="AG184" s="243"/>
      <c r="AH184" s="244"/>
      <c r="AI184" s="108"/>
      <c r="AJ184" s="108"/>
      <c r="AK184" s="108"/>
      <c r="AL184" s="108"/>
      <c r="AM184" s="108"/>
      <c r="AN184" s="108"/>
      <c r="AO184" s="108"/>
      <c r="AP184" s="108"/>
      <c r="AQ184" s="108">
        <v>60000</v>
      </c>
      <c r="AR184" s="108">
        <v>5000</v>
      </c>
      <c r="AS184" s="108">
        <f>48500+6935.79</f>
        <v>55435.79</v>
      </c>
      <c r="AT184" s="108"/>
      <c r="AU184" s="108"/>
      <c r="AV184" s="108"/>
      <c r="AW184" s="108"/>
      <c r="AX184" s="108"/>
      <c r="AY184" s="108"/>
      <c r="AZ184" s="30"/>
      <c r="BA184" s="31"/>
      <c r="BB184" s="31"/>
    </row>
    <row r="185" spans="1:55" s="28" customFormat="1" ht="14.4" x14ac:dyDescent="0.3">
      <c r="A185" s="135"/>
      <c r="B185" s="28" t="s">
        <v>140</v>
      </c>
      <c r="C185" s="136"/>
      <c r="D185" s="81">
        <f t="shared" si="117"/>
        <v>1500</v>
      </c>
      <c r="E185" s="82">
        <v>0</v>
      </c>
      <c r="F185" s="82">
        <f t="shared" si="88"/>
        <v>1500</v>
      </c>
      <c r="G185" s="83">
        <v>0</v>
      </c>
      <c r="H185" s="82">
        <f t="shared" si="114"/>
        <v>-1500</v>
      </c>
      <c r="I185" s="72" t="s">
        <v>129</v>
      </c>
      <c r="J185" s="105">
        <f t="shared" si="115"/>
        <v>0</v>
      </c>
      <c r="K185" s="106">
        <f t="shared" si="118"/>
        <v>0</v>
      </c>
      <c r="L185" s="239">
        <f t="shared" si="116"/>
        <v>1500</v>
      </c>
      <c r="M185" s="243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244"/>
      <c r="AG185" s="243"/>
      <c r="AH185" s="244"/>
      <c r="AI185" s="108"/>
      <c r="AJ185" s="108"/>
      <c r="AK185" s="108"/>
      <c r="AL185" s="108"/>
      <c r="AM185" s="108"/>
      <c r="AN185" s="108"/>
      <c r="AO185" s="108"/>
      <c r="AP185" s="108">
        <v>1500</v>
      </c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30"/>
      <c r="BA185" s="31"/>
      <c r="BB185" s="31"/>
    </row>
    <row r="186" spans="1:55" s="28" customFormat="1" ht="12" customHeight="1" x14ac:dyDescent="0.3">
      <c r="A186" s="135"/>
      <c r="C186" s="136"/>
      <c r="D186" s="81" t="s">
        <v>31</v>
      </c>
      <c r="E186" s="82"/>
      <c r="F186" s="82"/>
      <c r="G186" s="83"/>
      <c r="H186" s="82"/>
      <c r="I186" s="72"/>
      <c r="J186" s="105"/>
      <c r="K186" s="106"/>
      <c r="L186" s="239"/>
      <c r="M186" s="243" t="s">
        <v>31</v>
      </c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244"/>
      <c r="AG186" s="243"/>
      <c r="AH186" s="244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30"/>
      <c r="BA186" s="31"/>
      <c r="BB186" s="31"/>
    </row>
    <row r="187" spans="1:55" s="28" customFormat="1" ht="14.4" x14ac:dyDescent="0.3">
      <c r="A187" s="135" t="s">
        <v>99</v>
      </c>
      <c r="C187" s="136"/>
      <c r="D187" s="81" t="s">
        <v>31</v>
      </c>
      <c r="E187" s="82"/>
      <c r="F187" s="82"/>
      <c r="G187" s="83"/>
      <c r="H187" s="82"/>
      <c r="I187" s="72"/>
      <c r="J187" s="107"/>
      <c r="K187" s="108"/>
      <c r="L187" s="244"/>
      <c r="M187" s="243" t="s">
        <v>31</v>
      </c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244"/>
      <c r="AG187" s="243"/>
      <c r="AH187" s="244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  <c r="AV187" s="108"/>
      <c r="AW187" s="108"/>
      <c r="AX187" s="108"/>
      <c r="AY187" s="108"/>
      <c r="AZ187" s="30"/>
      <c r="BA187" s="31"/>
      <c r="BB187" s="31"/>
    </row>
    <row r="188" spans="1:55" s="28" customFormat="1" ht="14.4" x14ac:dyDescent="0.3">
      <c r="A188" s="135"/>
      <c r="B188" s="28" t="s">
        <v>104</v>
      </c>
      <c r="C188" s="136"/>
      <c r="D188" s="81">
        <f>+J188+K188+L188</f>
        <v>28000</v>
      </c>
      <c r="E188" s="82">
        <v>0</v>
      </c>
      <c r="F188" s="82">
        <f t="shared" si="88"/>
        <v>28000</v>
      </c>
      <c r="G188" s="83">
        <v>27000</v>
      </c>
      <c r="H188" s="82">
        <f>+G188-D188</f>
        <v>-1000</v>
      </c>
      <c r="I188" s="72">
        <f>+D188/G188</f>
        <v>1.037037037037037</v>
      </c>
      <c r="J188" s="105">
        <f>SUM(M188:AF188)</f>
        <v>28000</v>
      </c>
      <c r="K188" s="106">
        <f>SUM(AG188:AH188)</f>
        <v>0</v>
      </c>
      <c r="L188" s="239">
        <f>SUM(AI188:AY188)</f>
        <v>0</v>
      </c>
      <c r="M188" s="243" t="s">
        <v>31</v>
      </c>
      <c r="N188" s="108"/>
      <c r="O188" s="108"/>
      <c r="P188" s="108"/>
      <c r="Q188" s="108"/>
      <c r="R188" s="108"/>
      <c r="S188" s="108"/>
      <c r="T188" s="108"/>
      <c r="U188" s="108">
        <v>28000</v>
      </c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244"/>
      <c r="AG188" s="243"/>
      <c r="AH188" s="244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08"/>
      <c r="AW188" s="108"/>
      <c r="AX188" s="108"/>
      <c r="AY188" s="108"/>
      <c r="AZ188" s="30"/>
      <c r="BA188" s="31"/>
      <c r="BB188" s="31"/>
    </row>
    <row r="189" spans="1:55" s="28" customFormat="1" ht="14.4" x14ac:dyDescent="0.3">
      <c r="A189" s="135"/>
      <c r="B189" s="28" t="s">
        <v>103</v>
      </c>
      <c r="C189" s="136"/>
      <c r="D189" s="81">
        <f t="shared" ref="D189:D190" si="121">+J189+K189+L189</f>
        <v>34812</v>
      </c>
      <c r="E189" s="82">
        <v>34812</v>
      </c>
      <c r="F189" s="82">
        <f t="shared" si="88"/>
        <v>0</v>
      </c>
      <c r="G189" s="83">
        <v>40000</v>
      </c>
      <c r="H189" s="82">
        <f>+G189-D189</f>
        <v>5188</v>
      </c>
      <c r="I189" s="72">
        <f>+D189/G189</f>
        <v>0.87029999999999996</v>
      </c>
      <c r="J189" s="105">
        <f>SUM(M189:AF189)</f>
        <v>34812</v>
      </c>
      <c r="K189" s="106">
        <f t="shared" ref="K189:K190" si="122">SUM(AG189:AH189)</f>
        <v>0</v>
      </c>
      <c r="L189" s="239">
        <f>SUM(AI189:AY189)</f>
        <v>0</v>
      </c>
      <c r="M189" s="243" t="s">
        <v>31</v>
      </c>
      <c r="N189" s="108" t="s">
        <v>31</v>
      </c>
      <c r="O189" s="108"/>
      <c r="P189" s="108"/>
      <c r="Q189" s="108">
        <f>26109+8703</f>
        <v>34812</v>
      </c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244"/>
      <c r="AG189" s="243"/>
      <c r="AH189" s="244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  <c r="AV189" s="108"/>
      <c r="AW189" s="108"/>
      <c r="AX189" s="108"/>
      <c r="AY189" s="108"/>
      <c r="AZ189" s="30"/>
      <c r="BA189" s="31"/>
      <c r="BB189" s="31"/>
    </row>
    <row r="190" spans="1:55" s="28" customFormat="1" ht="14.4" x14ac:dyDescent="0.3">
      <c r="A190" s="135"/>
      <c r="B190" s="28" t="s">
        <v>189</v>
      </c>
      <c r="C190" s="136"/>
      <c r="D190" s="81">
        <f t="shared" si="121"/>
        <v>24000</v>
      </c>
      <c r="E190" s="82">
        <v>0</v>
      </c>
      <c r="F190" s="82">
        <f t="shared" si="88"/>
        <v>24000</v>
      </c>
      <c r="G190" s="83">
        <v>16000</v>
      </c>
      <c r="H190" s="82">
        <f>+G190-D190</f>
        <v>-8000</v>
      </c>
      <c r="I190" s="72">
        <f>+D190/G190</f>
        <v>1.5</v>
      </c>
      <c r="J190" s="105">
        <f>SUM(M190:AF190)</f>
        <v>24000</v>
      </c>
      <c r="K190" s="106">
        <f t="shared" si="122"/>
        <v>0</v>
      </c>
      <c r="L190" s="239">
        <f>SUM(AI190:AY190)</f>
        <v>0</v>
      </c>
      <c r="M190" s="243" t="s">
        <v>31</v>
      </c>
      <c r="N190" s="108"/>
      <c r="O190" s="108"/>
      <c r="P190" s="108"/>
      <c r="Q190" s="108"/>
      <c r="R190" s="108"/>
      <c r="S190" s="108"/>
      <c r="T190" s="108">
        <v>24000</v>
      </c>
      <c r="U190" s="108" t="s">
        <v>31</v>
      </c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244"/>
      <c r="AG190" s="243"/>
      <c r="AH190" s="244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  <c r="AV190" s="108"/>
      <c r="AW190" s="108"/>
      <c r="AX190" s="108"/>
      <c r="AY190" s="108"/>
      <c r="AZ190" s="30"/>
      <c r="BA190" s="31"/>
      <c r="BB190" s="31"/>
    </row>
    <row r="191" spans="1:55" s="30" customFormat="1" ht="10.8" customHeight="1" x14ac:dyDescent="0.3">
      <c r="A191" s="135"/>
      <c r="B191" s="28"/>
      <c r="C191" s="136"/>
      <c r="D191" s="81" t="s">
        <v>31</v>
      </c>
      <c r="E191" s="82"/>
      <c r="F191" s="82"/>
      <c r="G191" s="83"/>
      <c r="H191" s="82"/>
      <c r="I191" s="72"/>
      <c r="J191" s="107"/>
      <c r="K191" s="108"/>
      <c r="L191" s="244"/>
      <c r="M191" s="243" t="s">
        <v>31</v>
      </c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244"/>
      <c r="AG191" s="243"/>
      <c r="AH191" s="244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  <c r="AV191" s="108"/>
      <c r="AW191" s="108"/>
      <c r="AX191" s="108"/>
      <c r="AY191" s="108"/>
      <c r="BA191" s="31"/>
      <c r="BB191" s="31"/>
      <c r="BC191" s="28"/>
    </row>
    <row r="192" spans="1:55" s="30" customFormat="1" ht="14.4" x14ac:dyDescent="0.3">
      <c r="A192" s="135" t="s">
        <v>105</v>
      </c>
      <c r="B192" s="28"/>
      <c r="C192" s="136"/>
      <c r="D192" s="81" t="s">
        <v>31</v>
      </c>
      <c r="E192" s="82"/>
      <c r="F192" s="82"/>
      <c r="G192" s="83"/>
      <c r="H192" s="82"/>
      <c r="I192" s="72"/>
      <c r="J192" s="107"/>
      <c r="K192" s="108"/>
      <c r="L192" s="244"/>
      <c r="M192" s="243" t="s">
        <v>31</v>
      </c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244"/>
      <c r="AG192" s="243"/>
      <c r="AH192" s="244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108"/>
      <c r="AX192" s="108"/>
      <c r="AY192" s="108"/>
      <c r="BA192" s="31"/>
      <c r="BB192" s="31"/>
      <c r="BC192" s="28"/>
    </row>
    <row r="193" spans="1:55" s="30" customFormat="1" ht="14.4" x14ac:dyDescent="0.3">
      <c r="A193" s="135"/>
      <c r="B193" s="28" t="s">
        <v>220</v>
      </c>
      <c r="C193" s="136"/>
      <c r="D193" s="81">
        <f t="shared" ref="D193:D201" si="123">+J193+K193+L193</f>
        <v>167188</v>
      </c>
      <c r="E193" s="82">
        <v>198597</v>
      </c>
      <c r="F193" s="82">
        <f t="shared" si="88"/>
        <v>-31409</v>
      </c>
      <c r="G193" s="83">
        <v>121000</v>
      </c>
      <c r="H193" s="82">
        <f t="shared" ref="H193:H201" si="124">+G193-D193</f>
        <v>-46188</v>
      </c>
      <c r="I193" s="72">
        <f t="shared" ref="I193:I201" si="125">+D193/G193</f>
        <v>1.3817190082644628</v>
      </c>
      <c r="J193" s="105">
        <f t="shared" ref="J193:J201" si="126">SUM(M193:AF193)</f>
        <v>144540</v>
      </c>
      <c r="K193" s="106">
        <f t="shared" ref="K193:K201" si="127">SUM(AG193:AH193)</f>
        <v>0</v>
      </c>
      <c r="L193" s="239">
        <f t="shared" ref="L193:L201" si="128">SUM(AI193:AY193)</f>
        <v>22648</v>
      </c>
      <c r="M193" s="243" t="s">
        <v>31</v>
      </c>
      <c r="N193" s="108" t="s">
        <v>31</v>
      </c>
      <c r="O193" s="108"/>
      <c r="P193" s="108"/>
      <c r="Q193" s="108">
        <f>175891-22648-8703</f>
        <v>144540</v>
      </c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244"/>
      <c r="AG193" s="243"/>
      <c r="AH193" s="244"/>
      <c r="AI193" s="108"/>
      <c r="AJ193" s="108"/>
      <c r="AK193" s="108"/>
      <c r="AL193" s="108"/>
      <c r="AM193" s="108"/>
      <c r="AN193" s="108"/>
      <c r="AO193" s="108">
        <v>22648</v>
      </c>
      <c r="AP193" s="108"/>
      <c r="AQ193" s="108"/>
      <c r="AR193" s="108"/>
      <c r="AS193" s="108"/>
      <c r="AT193" s="108"/>
      <c r="AU193" s="108"/>
      <c r="AV193" s="108"/>
      <c r="AW193" s="108"/>
      <c r="AX193" s="108"/>
      <c r="AY193" s="108"/>
      <c r="BA193" s="31"/>
      <c r="BB193" s="31"/>
      <c r="BC193" s="28"/>
    </row>
    <row r="194" spans="1:55" s="30" customFormat="1" ht="14.4" x14ac:dyDescent="0.3">
      <c r="A194" s="135"/>
      <c r="B194" s="28" t="s">
        <v>221</v>
      </c>
      <c r="C194" s="136"/>
      <c r="D194" s="81">
        <f t="shared" si="123"/>
        <v>68000</v>
      </c>
      <c r="E194" s="82">
        <v>56000</v>
      </c>
      <c r="F194" s="82">
        <f t="shared" si="88"/>
        <v>12000</v>
      </c>
      <c r="G194" s="83">
        <v>69000</v>
      </c>
      <c r="H194" s="82">
        <f t="shared" si="124"/>
        <v>1000</v>
      </c>
      <c r="I194" s="72">
        <f t="shared" si="125"/>
        <v>0.98550724637681164</v>
      </c>
      <c r="J194" s="105">
        <f t="shared" si="126"/>
        <v>68000</v>
      </c>
      <c r="K194" s="106">
        <f t="shared" si="127"/>
        <v>0</v>
      </c>
      <c r="L194" s="239">
        <f t="shared" si="128"/>
        <v>0</v>
      </c>
      <c r="M194" s="243" t="s">
        <v>31</v>
      </c>
      <c r="N194" s="108" t="s">
        <v>31</v>
      </c>
      <c r="O194" s="108"/>
      <c r="P194" s="108"/>
      <c r="Q194" s="108"/>
      <c r="R194" s="108" t="s">
        <v>31</v>
      </c>
      <c r="S194" s="108"/>
      <c r="T194" s="108"/>
      <c r="U194" s="108">
        <v>68000</v>
      </c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244"/>
      <c r="AG194" s="243"/>
      <c r="AH194" s="244"/>
      <c r="AI194" s="108"/>
      <c r="AJ194" s="108" t="s">
        <v>31</v>
      </c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108"/>
      <c r="AY194" s="108"/>
      <c r="BA194" s="31"/>
      <c r="BB194" s="31"/>
      <c r="BC194" s="28"/>
    </row>
    <row r="195" spans="1:55" s="30" customFormat="1" ht="14.4" x14ac:dyDescent="0.3">
      <c r="A195" s="135"/>
      <c r="B195" s="28" t="s">
        <v>222</v>
      </c>
      <c r="C195" s="136"/>
      <c r="D195" s="81">
        <f t="shared" si="123"/>
        <v>60000</v>
      </c>
      <c r="E195" s="82">
        <f>58927+4800</f>
        <v>63727</v>
      </c>
      <c r="F195" s="82">
        <f t="shared" si="88"/>
        <v>-3727</v>
      </c>
      <c r="G195" s="83">
        <v>60000</v>
      </c>
      <c r="H195" s="82">
        <f t="shared" si="124"/>
        <v>0</v>
      </c>
      <c r="I195" s="72">
        <f t="shared" si="125"/>
        <v>1</v>
      </c>
      <c r="J195" s="105">
        <f t="shared" si="126"/>
        <v>55000</v>
      </c>
      <c r="K195" s="106">
        <f t="shared" si="127"/>
        <v>0</v>
      </c>
      <c r="L195" s="239">
        <f t="shared" si="128"/>
        <v>5000</v>
      </c>
      <c r="M195" s="243" t="s">
        <v>31</v>
      </c>
      <c r="N195" s="108" t="s">
        <v>31</v>
      </c>
      <c r="O195" s="108"/>
      <c r="P195" s="108"/>
      <c r="Q195" s="108"/>
      <c r="R195" s="108">
        <v>55000</v>
      </c>
      <c r="S195" s="108"/>
      <c r="T195" s="108"/>
      <c r="U195" s="108"/>
      <c r="V195" s="108"/>
      <c r="W195" s="108" t="s">
        <v>31</v>
      </c>
      <c r="X195" s="108"/>
      <c r="Y195" s="108"/>
      <c r="Z195" s="108"/>
      <c r="AA195" s="108"/>
      <c r="AB195" s="108"/>
      <c r="AC195" s="108"/>
      <c r="AD195" s="108"/>
      <c r="AE195" s="108"/>
      <c r="AF195" s="244"/>
      <c r="AG195" s="243"/>
      <c r="AH195" s="244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>
        <v>5000</v>
      </c>
      <c r="AW195" s="108"/>
      <c r="AX195" s="108"/>
      <c r="AY195" s="108"/>
      <c r="BA195" s="31"/>
      <c r="BB195" s="31"/>
      <c r="BC195" s="28"/>
    </row>
    <row r="196" spans="1:55" s="30" customFormat="1" ht="14.4" x14ac:dyDescent="0.3">
      <c r="A196" s="135"/>
      <c r="B196" s="28" t="s">
        <v>223</v>
      </c>
      <c r="C196" s="136"/>
      <c r="D196" s="81">
        <f t="shared" si="123"/>
        <v>30000</v>
      </c>
      <c r="E196" s="82">
        <v>38500</v>
      </c>
      <c r="F196" s="82">
        <f t="shared" si="88"/>
        <v>-8500</v>
      </c>
      <c r="G196" s="83">
        <v>30000</v>
      </c>
      <c r="H196" s="82">
        <f t="shared" si="124"/>
        <v>0</v>
      </c>
      <c r="I196" s="72">
        <f t="shared" si="125"/>
        <v>1</v>
      </c>
      <c r="J196" s="105">
        <f t="shared" si="126"/>
        <v>30000</v>
      </c>
      <c r="K196" s="106">
        <f t="shared" si="127"/>
        <v>0</v>
      </c>
      <c r="L196" s="239">
        <f t="shared" si="128"/>
        <v>0</v>
      </c>
      <c r="M196" s="243" t="s">
        <v>31</v>
      </c>
      <c r="N196" s="108" t="s">
        <v>31</v>
      </c>
      <c r="O196" s="108"/>
      <c r="P196" s="108"/>
      <c r="Q196" s="108">
        <v>30000</v>
      </c>
      <c r="R196" s="108"/>
      <c r="S196" s="108"/>
      <c r="T196" s="108"/>
      <c r="U196" s="108"/>
      <c r="V196" s="108"/>
      <c r="W196" s="108" t="s">
        <v>31</v>
      </c>
      <c r="X196" s="108"/>
      <c r="Y196" s="108"/>
      <c r="Z196" s="108"/>
      <c r="AA196" s="108"/>
      <c r="AB196" s="108"/>
      <c r="AC196" s="108"/>
      <c r="AD196" s="108"/>
      <c r="AE196" s="108"/>
      <c r="AF196" s="244"/>
      <c r="AG196" s="243"/>
      <c r="AH196" s="244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08"/>
      <c r="BA196" s="31"/>
      <c r="BB196" s="31"/>
      <c r="BC196" s="28"/>
    </row>
    <row r="197" spans="1:55" s="30" customFormat="1" ht="14.4" x14ac:dyDescent="0.3">
      <c r="A197" s="135"/>
      <c r="B197" s="28" t="s">
        <v>224</v>
      </c>
      <c r="C197" s="136"/>
      <c r="D197" s="81">
        <f t="shared" si="123"/>
        <v>15000</v>
      </c>
      <c r="E197" s="82">
        <v>18666</v>
      </c>
      <c r="F197" s="82">
        <f t="shared" si="88"/>
        <v>-3666</v>
      </c>
      <c r="G197" s="83">
        <v>19750</v>
      </c>
      <c r="H197" s="82">
        <f t="shared" si="124"/>
        <v>4750</v>
      </c>
      <c r="I197" s="72">
        <f t="shared" si="125"/>
        <v>0.759493670886076</v>
      </c>
      <c r="J197" s="105">
        <f t="shared" si="126"/>
        <v>15000</v>
      </c>
      <c r="K197" s="106">
        <f t="shared" si="127"/>
        <v>0</v>
      </c>
      <c r="L197" s="239">
        <f t="shared" si="128"/>
        <v>0</v>
      </c>
      <c r="M197" s="243" t="s">
        <v>31</v>
      </c>
      <c r="N197" s="108">
        <v>10000</v>
      </c>
      <c r="O197" s="108"/>
      <c r="P197" s="108">
        <v>5000</v>
      </c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244"/>
      <c r="AG197" s="243"/>
      <c r="AH197" s="244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  <c r="AV197" s="108"/>
      <c r="AW197" s="108"/>
      <c r="AX197" s="108"/>
      <c r="AY197" s="108"/>
      <c r="BA197" s="31"/>
      <c r="BB197" s="31"/>
      <c r="BC197" s="28"/>
    </row>
    <row r="198" spans="1:55" s="30" customFormat="1" ht="14.4" x14ac:dyDescent="0.3">
      <c r="A198" s="135"/>
      <c r="B198" s="28" t="s">
        <v>225</v>
      </c>
      <c r="C198" s="136"/>
      <c r="D198" s="81">
        <f t="shared" si="123"/>
        <v>10000</v>
      </c>
      <c r="E198" s="82">
        <v>35647</v>
      </c>
      <c r="F198" s="82">
        <f t="shared" si="88"/>
        <v>-25647</v>
      </c>
      <c r="G198" s="83">
        <v>10000</v>
      </c>
      <c r="H198" s="82">
        <f t="shared" si="124"/>
        <v>0</v>
      </c>
      <c r="I198" s="72">
        <f t="shared" si="125"/>
        <v>1</v>
      </c>
      <c r="J198" s="105">
        <f t="shared" si="126"/>
        <v>10000</v>
      </c>
      <c r="K198" s="106">
        <f t="shared" si="127"/>
        <v>0</v>
      </c>
      <c r="L198" s="239">
        <f t="shared" si="128"/>
        <v>0</v>
      </c>
      <c r="M198" s="243" t="s">
        <v>31</v>
      </c>
      <c r="N198" s="108" t="s">
        <v>31</v>
      </c>
      <c r="O198" s="108"/>
      <c r="P198" s="108"/>
      <c r="Q198" s="108"/>
      <c r="R198" s="108"/>
      <c r="S198" s="108"/>
      <c r="T198" s="108">
        <v>10000</v>
      </c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244"/>
      <c r="AG198" s="243"/>
      <c r="AH198" s="244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08"/>
      <c r="AX198" s="108"/>
      <c r="AY198" s="108"/>
      <c r="BA198" s="31"/>
      <c r="BB198" s="31"/>
      <c r="BC198" s="28"/>
    </row>
    <row r="199" spans="1:55" s="30" customFormat="1" ht="14.4" x14ac:dyDescent="0.3">
      <c r="A199" s="135"/>
      <c r="B199" s="28" t="s">
        <v>106</v>
      </c>
      <c r="C199" s="136"/>
      <c r="D199" s="81">
        <f t="shared" si="123"/>
        <v>4000</v>
      </c>
      <c r="E199" s="82">
        <v>4000</v>
      </c>
      <c r="F199" s="82">
        <f t="shared" si="88"/>
        <v>0</v>
      </c>
      <c r="G199" s="83">
        <v>4000</v>
      </c>
      <c r="H199" s="82">
        <f t="shared" si="124"/>
        <v>0</v>
      </c>
      <c r="I199" s="72">
        <f t="shared" si="125"/>
        <v>1</v>
      </c>
      <c r="J199" s="105">
        <f t="shared" si="126"/>
        <v>4000</v>
      </c>
      <c r="K199" s="106">
        <f t="shared" si="127"/>
        <v>0</v>
      </c>
      <c r="L199" s="239">
        <f t="shared" si="128"/>
        <v>0</v>
      </c>
      <c r="M199" s="243"/>
      <c r="N199" s="108">
        <v>4000</v>
      </c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244"/>
      <c r="AG199" s="243"/>
      <c r="AH199" s="244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  <c r="AV199" s="108"/>
      <c r="AW199" s="108"/>
      <c r="AX199" s="108"/>
      <c r="AY199" s="108"/>
      <c r="BA199" s="31"/>
      <c r="BB199" s="31"/>
      <c r="BC199" s="28"/>
    </row>
    <row r="200" spans="1:55" s="28" customFormat="1" ht="14.4" x14ac:dyDescent="0.3">
      <c r="A200" s="135"/>
      <c r="B200" s="28" t="s">
        <v>107</v>
      </c>
      <c r="C200" s="136"/>
      <c r="D200" s="81">
        <f t="shared" si="123"/>
        <v>1250</v>
      </c>
      <c r="E200" s="82">
        <v>2500</v>
      </c>
      <c r="F200" s="82">
        <f t="shared" si="88"/>
        <v>-1250</v>
      </c>
      <c r="G200" s="83">
        <v>2000</v>
      </c>
      <c r="H200" s="82">
        <f t="shared" si="124"/>
        <v>750</v>
      </c>
      <c r="I200" s="72">
        <f t="shared" si="125"/>
        <v>0.625</v>
      </c>
      <c r="J200" s="105">
        <f t="shared" si="126"/>
        <v>1250</v>
      </c>
      <c r="K200" s="106">
        <f t="shared" si="127"/>
        <v>0</v>
      </c>
      <c r="L200" s="239">
        <f t="shared" si="128"/>
        <v>0</v>
      </c>
      <c r="M200" s="243" t="s">
        <v>31</v>
      </c>
      <c r="N200" s="108">
        <v>1000</v>
      </c>
      <c r="O200" s="108"/>
      <c r="P200" s="108"/>
      <c r="Q200" s="108"/>
      <c r="R200" s="108">
        <v>250</v>
      </c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244"/>
      <c r="AG200" s="243"/>
      <c r="AH200" s="244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08"/>
      <c r="AX200" s="108"/>
      <c r="AY200" s="108"/>
      <c r="AZ200" s="30"/>
      <c r="BA200" s="31"/>
      <c r="BB200" s="31"/>
    </row>
    <row r="201" spans="1:55" s="30" customFormat="1" ht="14.4" x14ac:dyDescent="0.3">
      <c r="A201" s="135"/>
      <c r="B201" s="28" t="s">
        <v>108</v>
      </c>
      <c r="C201" s="136"/>
      <c r="D201" s="81">
        <f t="shared" si="123"/>
        <v>0</v>
      </c>
      <c r="E201" s="82">
        <v>12000</v>
      </c>
      <c r="F201" s="82">
        <f t="shared" si="88"/>
        <v>-12000</v>
      </c>
      <c r="G201" s="83">
        <v>6000</v>
      </c>
      <c r="H201" s="82">
        <f t="shared" si="124"/>
        <v>6000</v>
      </c>
      <c r="I201" s="72">
        <f t="shared" si="125"/>
        <v>0</v>
      </c>
      <c r="J201" s="105">
        <f t="shared" si="126"/>
        <v>0</v>
      </c>
      <c r="K201" s="106">
        <f t="shared" si="127"/>
        <v>0</v>
      </c>
      <c r="L201" s="239">
        <f t="shared" si="128"/>
        <v>0</v>
      </c>
      <c r="M201" s="243" t="s">
        <v>31</v>
      </c>
      <c r="N201" s="108" t="s">
        <v>31</v>
      </c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244"/>
      <c r="AG201" s="243"/>
      <c r="AH201" s="244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X201" s="108"/>
      <c r="AY201" s="108"/>
      <c r="BA201" s="31"/>
      <c r="BB201" s="31"/>
      <c r="BC201" s="28"/>
    </row>
    <row r="202" spans="1:55" s="28" customFormat="1" ht="12" customHeight="1" x14ac:dyDescent="0.3">
      <c r="A202" s="135"/>
      <c r="C202" s="136"/>
      <c r="D202" s="81"/>
      <c r="E202" s="82"/>
      <c r="F202" s="82" t="s">
        <v>31</v>
      </c>
      <c r="G202" s="83"/>
      <c r="H202" s="82"/>
      <c r="I202" s="72"/>
      <c r="J202" s="107"/>
      <c r="K202" s="108"/>
      <c r="L202" s="244"/>
      <c r="M202" s="243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244"/>
      <c r="AG202" s="243"/>
      <c r="AH202" s="244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  <c r="AV202" s="108"/>
      <c r="AW202" s="108"/>
      <c r="AX202" s="108"/>
      <c r="AY202" s="108"/>
      <c r="AZ202" s="30"/>
      <c r="BA202" s="31"/>
      <c r="BB202" s="31"/>
    </row>
    <row r="203" spans="1:55" s="32" customFormat="1" ht="14.4" x14ac:dyDescent="0.3">
      <c r="A203" s="138" t="s">
        <v>240</v>
      </c>
      <c r="B203" s="65"/>
      <c r="C203" s="139"/>
      <c r="D203" s="84">
        <f>SUM(D97:D201)</f>
        <v>3511334.9299999988</v>
      </c>
      <c r="E203" s="88">
        <f>SUM(E98:E201)</f>
        <v>4022539.68</v>
      </c>
      <c r="F203" s="88">
        <f>D203-E203</f>
        <v>-511204.7500000014</v>
      </c>
      <c r="G203" s="86">
        <f>SUM(G98:G201)</f>
        <v>3621300</v>
      </c>
      <c r="H203" s="88">
        <f>SUM(H98:H201)</f>
        <v>109965.07000000015</v>
      </c>
      <c r="I203" s="74">
        <f>D203/G203</f>
        <v>0.96963381382376457</v>
      </c>
      <c r="J203" s="126">
        <f>SUM(J98:J201)</f>
        <v>2862085.67</v>
      </c>
      <c r="K203" s="127">
        <f>SUM(K98:K201)</f>
        <v>178373.11000000002</v>
      </c>
      <c r="L203" s="279">
        <f>SUM(L98:L201)</f>
        <v>470876.15</v>
      </c>
      <c r="M203" s="127">
        <f t="shared" ref="M203:AF203" si="129">SUM(M97:M201)</f>
        <v>1066431.93</v>
      </c>
      <c r="N203" s="127">
        <f t="shared" si="129"/>
        <v>15000</v>
      </c>
      <c r="O203" s="127">
        <f t="shared" si="129"/>
        <v>93121.170000000013</v>
      </c>
      <c r="P203" s="127">
        <f t="shared" si="129"/>
        <v>101766.68000000001</v>
      </c>
      <c r="Q203" s="127">
        <f t="shared" si="129"/>
        <v>209352</v>
      </c>
      <c r="R203" s="127">
        <f t="shared" si="129"/>
        <v>167781.95</v>
      </c>
      <c r="S203" s="127">
        <f t="shared" si="129"/>
        <v>149592.38</v>
      </c>
      <c r="T203" s="127">
        <f t="shared" si="129"/>
        <v>50095.729999999996</v>
      </c>
      <c r="U203" s="127">
        <f t="shared" si="129"/>
        <v>167577.5</v>
      </c>
      <c r="V203" s="127">
        <f t="shared" si="129"/>
        <v>56929.69</v>
      </c>
      <c r="W203" s="127">
        <f t="shared" si="129"/>
        <v>81908.709999999992</v>
      </c>
      <c r="X203" s="127">
        <f t="shared" si="129"/>
        <v>38038.959999999999</v>
      </c>
      <c r="Y203" s="127">
        <f t="shared" si="129"/>
        <v>12487.69</v>
      </c>
      <c r="Z203" s="127">
        <f t="shared" si="129"/>
        <v>11205.86</v>
      </c>
      <c r="AA203" s="127">
        <f t="shared" si="129"/>
        <v>81645.259999999995</v>
      </c>
      <c r="AB203" s="127">
        <f t="shared" si="129"/>
        <v>111907.75</v>
      </c>
      <c r="AC203" s="127">
        <f t="shared" si="129"/>
        <v>233320.57</v>
      </c>
      <c r="AD203" s="127">
        <f t="shared" si="129"/>
        <v>168433.94</v>
      </c>
      <c r="AE203" s="127">
        <f t="shared" si="129"/>
        <v>25917.09</v>
      </c>
      <c r="AF203" s="279">
        <f t="shared" si="129"/>
        <v>19570.810000000001</v>
      </c>
      <c r="AG203" s="127">
        <f t="shared" ref="AG203:AL203" si="130">SUM(AG97:AG201)</f>
        <v>74001.98</v>
      </c>
      <c r="AH203" s="279">
        <f t="shared" si="130"/>
        <v>104371.12999999999</v>
      </c>
      <c r="AI203" s="127">
        <f t="shared" si="130"/>
        <v>181840.16</v>
      </c>
      <c r="AJ203" s="127">
        <f t="shared" si="130"/>
        <v>66476.39</v>
      </c>
      <c r="AK203" s="127">
        <f t="shared" si="130"/>
        <v>35682.770000000004</v>
      </c>
      <c r="AL203" s="127">
        <f t="shared" si="130"/>
        <v>0</v>
      </c>
      <c r="AM203" s="127"/>
      <c r="AN203" s="127">
        <f t="shared" ref="AN203:AY203" si="131">SUM(AN97:AN201)</f>
        <v>0</v>
      </c>
      <c r="AO203" s="127">
        <f t="shared" si="131"/>
        <v>22648</v>
      </c>
      <c r="AP203" s="127">
        <f t="shared" si="131"/>
        <v>11251.94</v>
      </c>
      <c r="AQ203" s="127">
        <f t="shared" si="131"/>
        <v>60000</v>
      </c>
      <c r="AR203" s="127">
        <f t="shared" si="131"/>
        <v>5000</v>
      </c>
      <c r="AS203" s="127">
        <f t="shared" si="131"/>
        <v>55435.79</v>
      </c>
      <c r="AT203" s="127">
        <f t="shared" si="131"/>
        <v>0</v>
      </c>
      <c r="AU203" s="127">
        <f t="shared" si="131"/>
        <v>3541.1</v>
      </c>
      <c r="AV203" s="127">
        <f t="shared" si="131"/>
        <v>5000</v>
      </c>
      <c r="AW203" s="127">
        <f t="shared" si="131"/>
        <v>0</v>
      </c>
      <c r="AX203" s="127">
        <f t="shared" si="131"/>
        <v>0</v>
      </c>
      <c r="AY203" s="127">
        <f t="shared" si="131"/>
        <v>24000</v>
      </c>
      <c r="AZ203" s="43"/>
      <c r="BA203" s="44"/>
      <c r="BB203" s="44"/>
    </row>
    <row r="204" spans="1:55" s="42" customFormat="1" ht="14.4" hidden="1" x14ac:dyDescent="0.3">
      <c r="A204" s="135"/>
      <c r="B204" s="28"/>
      <c r="C204" s="136"/>
      <c r="D204" s="87">
        <f>4530.04+5000+3496217.26+5587</f>
        <v>3511334.3</v>
      </c>
      <c r="E204" s="90">
        <f>612.2+1166839.34+324400.53+2345.66</f>
        <v>1494197.73</v>
      </c>
      <c r="F204" s="82">
        <f t="shared" si="88"/>
        <v>2017136.5699999998</v>
      </c>
      <c r="G204" s="91">
        <v>3621300</v>
      </c>
      <c r="H204" s="90"/>
      <c r="I204" s="72"/>
      <c r="J204" s="120"/>
      <c r="K204" s="121"/>
      <c r="L204" s="277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277"/>
      <c r="AG204" s="121"/>
      <c r="AH204" s="277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38"/>
      <c r="BA204" s="41"/>
      <c r="BB204" s="41"/>
    </row>
    <row r="205" spans="1:55" s="42" customFormat="1" ht="14.4" hidden="1" x14ac:dyDescent="0.3">
      <c r="A205" s="135"/>
      <c r="B205" s="28"/>
      <c r="C205" s="136"/>
      <c r="D205" s="87">
        <f>+D204-D203</f>
        <v>-0.62999999895691872</v>
      </c>
      <c r="E205" s="90">
        <f>1761568.83+2957.86</f>
        <v>1764526.6900000002</v>
      </c>
      <c r="F205" s="82">
        <f t="shared" ref="F205:F220" si="132">D205-E205</f>
        <v>-1764527.3199999991</v>
      </c>
      <c r="G205" s="91">
        <f>+G204-G203</f>
        <v>0</v>
      </c>
      <c r="H205" s="90"/>
      <c r="I205" s="72"/>
      <c r="J205" s="120"/>
      <c r="K205" s="121"/>
      <c r="L205" s="277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277"/>
      <c r="AG205" s="121"/>
      <c r="AH205" s="277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38"/>
      <c r="BA205" s="41"/>
      <c r="BB205" s="41"/>
    </row>
    <row r="206" spans="1:55" s="28" customFormat="1" ht="14.4" x14ac:dyDescent="0.3">
      <c r="A206" s="135"/>
      <c r="C206" s="136"/>
      <c r="D206" s="87"/>
      <c r="E206" s="95"/>
      <c r="F206" s="82"/>
      <c r="G206" s="83"/>
      <c r="H206" s="82"/>
      <c r="I206" s="72"/>
      <c r="J206" s="107"/>
      <c r="K206" s="108"/>
      <c r="L206" s="244"/>
      <c r="M206" s="294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28"/>
      <c r="AF206" s="293"/>
      <c r="AG206" s="294"/>
      <c r="AH206" s="293"/>
      <c r="AI206" s="128"/>
      <c r="AJ206" s="128"/>
      <c r="AK206" s="128"/>
      <c r="AL206" s="128"/>
      <c r="AM206" s="128"/>
      <c r="AN206" s="128"/>
      <c r="AO206" s="128"/>
      <c r="AP206" s="128"/>
      <c r="AQ206" s="128"/>
      <c r="AR206" s="128"/>
      <c r="AS206" s="128"/>
      <c r="AT206" s="128"/>
      <c r="AU206" s="128"/>
      <c r="AV206" s="128"/>
      <c r="AW206" s="128"/>
      <c r="AX206" s="128"/>
      <c r="AY206" s="128"/>
      <c r="AZ206" s="30"/>
      <c r="BA206" s="31"/>
      <c r="BB206" s="31"/>
    </row>
    <row r="207" spans="1:55" s="28" customFormat="1" ht="15" thickBot="1" x14ac:dyDescent="0.35">
      <c r="A207" s="140" t="s">
        <v>241</v>
      </c>
      <c r="B207" s="66"/>
      <c r="C207" s="141"/>
      <c r="D207" s="96">
        <f t="shared" ref="D207:E207" si="133">+D92-D203</f>
        <v>266964.12000000058</v>
      </c>
      <c r="E207" s="97">
        <f t="shared" si="133"/>
        <v>372982.31999999983</v>
      </c>
      <c r="F207" s="97">
        <f t="shared" si="132"/>
        <v>-106018.19999999925</v>
      </c>
      <c r="G207" s="98">
        <f>+G92-G203</f>
        <v>0</v>
      </c>
      <c r="H207" s="97">
        <f>+D207-G207</f>
        <v>266964.12000000058</v>
      </c>
      <c r="I207" s="76" t="s">
        <v>31</v>
      </c>
      <c r="J207" s="129">
        <f>+J92-J203</f>
        <v>-0.10999999986961484</v>
      </c>
      <c r="K207" s="130">
        <f>+K92-K203</f>
        <v>-54372.110000000015</v>
      </c>
      <c r="L207" s="251">
        <f>+L92-L203</f>
        <v>321336.34000000008</v>
      </c>
      <c r="M207" s="130">
        <f t="shared" ref="M207:AF207" si="134">+M92-M203</f>
        <v>1320586.8900000004</v>
      </c>
      <c r="N207" s="130">
        <f t="shared" si="134"/>
        <v>-15000</v>
      </c>
      <c r="O207" s="130">
        <f t="shared" si="134"/>
        <v>-33786.170000000013</v>
      </c>
      <c r="P207" s="130">
        <f t="shared" si="134"/>
        <v>-36666.680000000008</v>
      </c>
      <c r="Q207" s="130">
        <f t="shared" si="134"/>
        <v>-174540</v>
      </c>
      <c r="R207" s="130">
        <f t="shared" si="134"/>
        <v>-152656.95000000001</v>
      </c>
      <c r="S207" s="130">
        <f t="shared" si="134"/>
        <v>-149467.38</v>
      </c>
      <c r="T207" s="130">
        <f t="shared" si="134"/>
        <v>-16095.729999999996</v>
      </c>
      <c r="U207" s="130">
        <f t="shared" si="134"/>
        <v>-107577.5</v>
      </c>
      <c r="V207" s="130">
        <f t="shared" si="134"/>
        <v>-56929.69</v>
      </c>
      <c r="W207" s="130">
        <f t="shared" si="134"/>
        <v>37392.770000000004</v>
      </c>
      <c r="X207" s="130">
        <f t="shared" si="134"/>
        <v>9661.0400000000009</v>
      </c>
      <c r="Y207" s="130">
        <f t="shared" si="134"/>
        <v>-12487.69</v>
      </c>
      <c r="Z207" s="130">
        <f t="shared" si="134"/>
        <v>-1855.8600000000006</v>
      </c>
      <c r="AA207" s="130">
        <f t="shared" si="134"/>
        <v>-57013.999999999993</v>
      </c>
      <c r="AB207" s="130">
        <f t="shared" si="134"/>
        <v>-106320.75</v>
      </c>
      <c r="AC207" s="130">
        <f t="shared" si="134"/>
        <v>-233320.57</v>
      </c>
      <c r="AD207" s="130">
        <f t="shared" si="134"/>
        <v>-168433.94</v>
      </c>
      <c r="AE207" s="130">
        <f t="shared" si="134"/>
        <v>-25917.09</v>
      </c>
      <c r="AF207" s="251">
        <f t="shared" si="134"/>
        <v>-19570.810000000001</v>
      </c>
      <c r="AG207" s="130">
        <f t="shared" ref="AG207:AL207" si="135">+AG92-AG203</f>
        <v>-54371.979999999996</v>
      </c>
      <c r="AH207" s="251">
        <f t="shared" si="135"/>
        <v>-0.1299999999901047</v>
      </c>
      <c r="AI207" s="130">
        <f t="shared" si="135"/>
        <v>90464.84</v>
      </c>
      <c r="AJ207" s="130">
        <f t="shared" si="135"/>
        <v>0.41000000000349246</v>
      </c>
      <c r="AK207" s="130">
        <f t="shared" si="135"/>
        <v>0.22999999999592546</v>
      </c>
      <c r="AL207" s="130">
        <f t="shared" si="135"/>
        <v>0</v>
      </c>
      <c r="AM207" s="130"/>
      <c r="AN207" s="130">
        <f t="shared" ref="AN207:AY207" si="136">+AN92-AN203</f>
        <v>500</v>
      </c>
      <c r="AO207" s="130">
        <f t="shared" si="136"/>
        <v>57.569999999999709</v>
      </c>
      <c r="AP207" s="130">
        <f t="shared" si="136"/>
        <v>6888.8399999999983</v>
      </c>
      <c r="AQ207" s="130">
        <f t="shared" si="136"/>
        <v>15000</v>
      </c>
      <c r="AR207" s="130">
        <f t="shared" si="136"/>
        <v>0</v>
      </c>
      <c r="AS207" s="130">
        <f t="shared" si="136"/>
        <v>0.5</v>
      </c>
      <c r="AT207" s="130">
        <f t="shared" si="136"/>
        <v>150</v>
      </c>
      <c r="AU207" s="130">
        <f t="shared" si="136"/>
        <v>0.90000000000009095</v>
      </c>
      <c r="AV207" s="130">
        <f t="shared" si="136"/>
        <v>0.56999999999970896</v>
      </c>
      <c r="AW207" s="130">
        <f t="shared" si="136"/>
        <v>3000</v>
      </c>
      <c r="AX207" s="130">
        <f t="shared" si="136"/>
        <v>6909.99</v>
      </c>
      <c r="AY207" s="130">
        <f t="shared" si="136"/>
        <v>11398.5</v>
      </c>
      <c r="AZ207" s="30"/>
      <c r="BA207" s="31"/>
      <c r="BB207" s="31"/>
    </row>
    <row r="208" spans="1:55" s="235" customFormat="1" ht="45.6" customHeight="1" thickTop="1" thickBot="1" x14ac:dyDescent="0.35">
      <c r="A208" s="226"/>
      <c r="B208" s="227"/>
      <c r="C208" s="228"/>
      <c r="D208" s="169"/>
      <c r="E208" s="229"/>
      <c r="F208" s="229"/>
      <c r="G208" s="229"/>
      <c r="H208" s="229"/>
      <c r="I208" s="301"/>
      <c r="J208" s="230"/>
      <c r="K208" s="230"/>
      <c r="L208" s="230"/>
      <c r="M208" s="230"/>
      <c r="N208" s="230"/>
      <c r="O208" s="230"/>
      <c r="P208" s="230"/>
      <c r="Q208" s="230"/>
      <c r="R208" s="230"/>
      <c r="S208" s="230"/>
      <c r="T208" s="230"/>
      <c r="U208" s="230"/>
      <c r="V208" s="230"/>
      <c r="W208" s="230"/>
      <c r="X208" s="230"/>
      <c r="Y208" s="230"/>
      <c r="Z208" s="230"/>
      <c r="AA208" s="230"/>
      <c r="AB208" s="230"/>
      <c r="AC208" s="230"/>
      <c r="AD208" s="230"/>
      <c r="AE208" s="230"/>
      <c r="AF208" s="230"/>
      <c r="AG208" s="232"/>
      <c r="AH208" s="231"/>
      <c r="AI208" s="230"/>
      <c r="AJ208" s="230"/>
      <c r="AK208" s="230"/>
      <c r="AL208" s="230"/>
      <c r="AM208" s="230"/>
      <c r="AN208" s="230"/>
      <c r="AO208" s="230"/>
      <c r="AP208" s="230"/>
      <c r="AQ208" s="230"/>
      <c r="AR208" s="230"/>
      <c r="AS208" s="230"/>
      <c r="AT208" s="230"/>
      <c r="AU208" s="230"/>
      <c r="AV208" s="230"/>
      <c r="AW208" s="230"/>
      <c r="AX208" s="230"/>
      <c r="AY208" s="230"/>
      <c r="AZ208" s="233"/>
      <c r="BA208" s="234"/>
      <c r="BB208" s="234"/>
    </row>
    <row r="209" spans="1:55" s="28" customFormat="1" ht="21" customHeight="1" thickBot="1" x14ac:dyDescent="0.35">
      <c r="A209" s="252" t="s">
        <v>243</v>
      </c>
      <c r="B209" s="302"/>
      <c r="C209" s="303"/>
      <c r="D209" s="310"/>
      <c r="E209" s="304" t="s">
        <v>31</v>
      </c>
      <c r="F209" s="305"/>
      <c r="G209" s="311"/>
      <c r="H209" s="305"/>
      <c r="I209" s="306"/>
      <c r="J209" s="295" t="s">
        <v>31</v>
      </c>
      <c r="K209" s="296"/>
      <c r="L209" s="297"/>
      <c r="M209" s="295"/>
      <c r="N209" s="296"/>
      <c r="O209" s="296"/>
      <c r="P209" s="296"/>
      <c r="Q209" s="296"/>
      <c r="R209" s="296"/>
      <c r="S209" s="296"/>
      <c r="T209" s="296"/>
      <c r="U209" s="296"/>
      <c r="V209" s="296"/>
      <c r="W209" s="296"/>
      <c r="X209" s="296"/>
      <c r="Y209" s="296"/>
      <c r="Z209" s="296"/>
      <c r="AA209" s="296"/>
      <c r="AB209" s="296"/>
      <c r="AC209" s="296"/>
      <c r="AD209" s="296"/>
      <c r="AE209" s="296"/>
      <c r="AF209" s="297"/>
      <c r="AG209" s="296"/>
      <c r="AH209" s="297"/>
      <c r="AI209" s="296"/>
      <c r="AJ209" s="296"/>
      <c r="AK209" s="296"/>
      <c r="AL209" s="296"/>
      <c r="AM209" s="296"/>
      <c r="AN209" s="296"/>
      <c r="AO209" s="296"/>
      <c r="AP209" s="296"/>
      <c r="AQ209" s="296"/>
      <c r="AR209" s="296"/>
      <c r="AS209" s="296"/>
      <c r="AT209" s="296"/>
      <c r="AU209" s="296"/>
      <c r="AV209" s="296"/>
      <c r="AW209" s="296"/>
      <c r="AX209" s="296"/>
      <c r="AY209" s="297"/>
      <c r="AZ209" s="30"/>
      <c r="BA209" s="31"/>
      <c r="BB209" s="31"/>
    </row>
    <row r="210" spans="1:55" s="28" customFormat="1" ht="14.4" x14ac:dyDescent="0.3">
      <c r="A210" s="236" t="s">
        <v>109</v>
      </c>
      <c r="B210" s="237"/>
      <c r="C210" s="142"/>
      <c r="D210" s="81">
        <f>SUM(D9:D71)</f>
        <v>3275698.0499999993</v>
      </c>
      <c r="E210" s="212">
        <f>SUM(E9:E71)</f>
        <v>3314128</v>
      </c>
      <c r="F210" s="212">
        <f>D210-E210</f>
        <v>-38429.950000000652</v>
      </c>
      <c r="G210" s="83">
        <f>SUM(G9:G71)</f>
        <v>3102817</v>
      </c>
      <c r="H210" s="212">
        <f>SUM(H9:H71)</f>
        <v>172881.05</v>
      </c>
      <c r="I210" s="72">
        <f>+D210/G210</f>
        <v>1.0557174496594544</v>
      </c>
      <c r="J210" s="105">
        <f>SUM(M210:AF210)</f>
        <v>2457222.56</v>
      </c>
      <c r="K210" s="238">
        <f t="shared" ref="K210:K212" si="137">SUM(AG210:AH210)</f>
        <v>62987</v>
      </c>
      <c r="L210" s="239">
        <f>SUM(AI210:AY210)</f>
        <v>755488.49</v>
      </c>
      <c r="M210" s="243">
        <f t="shared" ref="M210:AY210" si="138">SUM(M9:M71)</f>
        <v>1982155.82</v>
      </c>
      <c r="N210" s="108">
        <f t="shared" si="138"/>
        <v>0</v>
      </c>
      <c r="O210" s="108">
        <f t="shared" si="138"/>
        <v>59335</v>
      </c>
      <c r="P210" s="108">
        <f t="shared" si="138"/>
        <v>65100</v>
      </c>
      <c r="Q210" s="108">
        <f t="shared" si="138"/>
        <v>34812</v>
      </c>
      <c r="R210" s="108">
        <f t="shared" si="138"/>
        <v>15125</v>
      </c>
      <c r="S210" s="108">
        <f t="shared" si="138"/>
        <v>125</v>
      </c>
      <c r="T210" s="108">
        <f t="shared" si="138"/>
        <v>34000</v>
      </c>
      <c r="U210" s="108">
        <f t="shared" si="138"/>
        <v>60000</v>
      </c>
      <c r="V210" s="108">
        <f t="shared" si="138"/>
        <v>0</v>
      </c>
      <c r="W210" s="108">
        <f t="shared" si="138"/>
        <v>119301.48</v>
      </c>
      <c r="X210" s="108">
        <f t="shared" si="138"/>
        <v>47700</v>
      </c>
      <c r="Y210" s="108">
        <f t="shared" si="138"/>
        <v>0</v>
      </c>
      <c r="Z210" s="108">
        <f t="shared" si="138"/>
        <v>9350</v>
      </c>
      <c r="AA210" s="108">
        <f t="shared" si="138"/>
        <v>24631.260000000002</v>
      </c>
      <c r="AB210" s="108">
        <f t="shared" si="138"/>
        <v>5587</v>
      </c>
      <c r="AC210" s="108">
        <f t="shared" si="138"/>
        <v>0</v>
      </c>
      <c r="AD210" s="108">
        <f t="shared" si="138"/>
        <v>0</v>
      </c>
      <c r="AE210" s="108">
        <f t="shared" si="138"/>
        <v>0</v>
      </c>
      <c r="AF210" s="244">
        <f t="shared" si="138"/>
        <v>0</v>
      </c>
      <c r="AG210" s="243">
        <f t="shared" si="138"/>
        <v>18630</v>
      </c>
      <c r="AH210" s="244">
        <f t="shared" si="138"/>
        <v>44357</v>
      </c>
      <c r="AI210" s="108">
        <f t="shared" si="138"/>
        <v>262300</v>
      </c>
      <c r="AJ210" s="108">
        <f t="shared" si="138"/>
        <v>100559.8</v>
      </c>
      <c r="AK210" s="108">
        <f t="shared" si="138"/>
        <v>7400</v>
      </c>
      <c r="AL210" s="108">
        <f t="shared" si="138"/>
        <v>0</v>
      </c>
      <c r="AM210" s="108">
        <f t="shared" si="138"/>
        <v>186963.99</v>
      </c>
      <c r="AN210" s="108">
        <f t="shared" si="138"/>
        <v>500</v>
      </c>
      <c r="AO210" s="108">
        <f t="shared" si="138"/>
        <v>22705.57</v>
      </c>
      <c r="AP210" s="108">
        <f t="shared" si="138"/>
        <v>18140.78</v>
      </c>
      <c r="AQ210" s="108">
        <f t="shared" si="138"/>
        <v>75000</v>
      </c>
      <c r="AR210" s="108">
        <f t="shared" si="138"/>
        <v>0</v>
      </c>
      <c r="AS210" s="108">
        <f t="shared" si="138"/>
        <v>35473.29</v>
      </c>
      <c r="AT210" s="108">
        <f t="shared" si="138"/>
        <v>150</v>
      </c>
      <c r="AU210" s="108">
        <f t="shared" si="138"/>
        <v>0</v>
      </c>
      <c r="AV210" s="108">
        <f t="shared" si="138"/>
        <v>986.56999999999994</v>
      </c>
      <c r="AW210" s="108">
        <f t="shared" si="138"/>
        <v>3000</v>
      </c>
      <c r="AX210" s="108">
        <f t="shared" si="138"/>
        <v>6909.99</v>
      </c>
      <c r="AY210" s="108">
        <f t="shared" si="138"/>
        <v>35398.5</v>
      </c>
      <c r="AZ210" s="30"/>
      <c r="BA210" s="31"/>
      <c r="BB210" s="31"/>
    </row>
    <row r="211" spans="1:55" s="30" customFormat="1" ht="14.4" x14ac:dyDescent="0.3">
      <c r="A211" s="236" t="s">
        <v>110</v>
      </c>
      <c r="B211" s="237"/>
      <c r="C211" s="142"/>
      <c r="D211" s="81">
        <f>SUM(D77:D85)</f>
        <v>97738</v>
      </c>
      <c r="E211" s="212">
        <f>SUM(E77:E85)</f>
        <v>513751</v>
      </c>
      <c r="F211" s="212">
        <f t="shared" si="132"/>
        <v>-416013</v>
      </c>
      <c r="G211" s="83">
        <f>SUM(G77:G85)</f>
        <v>67300</v>
      </c>
      <c r="H211" s="212">
        <f>SUM(H77:H85)</f>
        <v>30438</v>
      </c>
      <c r="I211" s="72">
        <f>+D211/G211</f>
        <v>1.4522734026745914</v>
      </c>
      <c r="J211" s="105">
        <f>SUM(M211:AF211)</f>
        <v>0</v>
      </c>
      <c r="K211" s="238">
        <f t="shared" si="137"/>
        <v>1000</v>
      </c>
      <c r="L211" s="239">
        <f>SUM(AI211:AY211)</f>
        <v>96738</v>
      </c>
      <c r="M211" s="243">
        <f t="shared" ref="M211:AP211" si="139">SUM(M77:M85)</f>
        <v>0</v>
      </c>
      <c r="N211" s="108">
        <f t="shared" si="139"/>
        <v>0</v>
      </c>
      <c r="O211" s="108">
        <f t="shared" si="139"/>
        <v>0</v>
      </c>
      <c r="P211" s="108">
        <f t="shared" si="139"/>
        <v>0</v>
      </c>
      <c r="Q211" s="108">
        <f t="shared" si="139"/>
        <v>0</v>
      </c>
      <c r="R211" s="108">
        <f t="shared" si="139"/>
        <v>0</v>
      </c>
      <c r="S211" s="108">
        <f t="shared" si="139"/>
        <v>0</v>
      </c>
      <c r="T211" s="108">
        <f t="shared" si="139"/>
        <v>0</v>
      </c>
      <c r="U211" s="108">
        <f t="shared" si="139"/>
        <v>0</v>
      </c>
      <c r="V211" s="108">
        <f t="shared" si="139"/>
        <v>0</v>
      </c>
      <c r="W211" s="108">
        <f t="shared" si="139"/>
        <v>0</v>
      </c>
      <c r="X211" s="108">
        <f t="shared" si="139"/>
        <v>0</v>
      </c>
      <c r="Y211" s="108">
        <f t="shared" si="139"/>
        <v>0</v>
      </c>
      <c r="Z211" s="108">
        <f t="shared" si="139"/>
        <v>0</v>
      </c>
      <c r="AA211" s="108">
        <f t="shared" si="139"/>
        <v>0</v>
      </c>
      <c r="AB211" s="108">
        <f t="shared" si="139"/>
        <v>0</v>
      </c>
      <c r="AC211" s="108">
        <f t="shared" si="139"/>
        <v>0</v>
      </c>
      <c r="AD211" s="108">
        <f t="shared" si="139"/>
        <v>0</v>
      </c>
      <c r="AE211" s="108">
        <f t="shared" si="139"/>
        <v>0</v>
      </c>
      <c r="AF211" s="244">
        <f t="shared" si="139"/>
        <v>0</v>
      </c>
      <c r="AG211" s="243">
        <f t="shared" si="139"/>
        <v>1000</v>
      </c>
      <c r="AH211" s="244">
        <f t="shared" si="139"/>
        <v>0</v>
      </c>
      <c r="AI211" s="108">
        <f t="shared" si="139"/>
        <v>10005</v>
      </c>
      <c r="AJ211" s="108">
        <f t="shared" si="139"/>
        <v>42976</v>
      </c>
      <c r="AK211" s="108">
        <f t="shared" si="139"/>
        <v>11238</v>
      </c>
      <c r="AL211" s="108">
        <f t="shared" si="139"/>
        <v>0</v>
      </c>
      <c r="AM211" s="108">
        <f t="shared" si="139"/>
        <v>0</v>
      </c>
      <c r="AN211" s="108">
        <f t="shared" si="139"/>
        <v>0</v>
      </c>
      <c r="AO211" s="108">
        <f t="shared" si="139"/>
        <v>0</v>
      </c>
      <c r="AP211" s="108">
        <f t="shared" si="139"/>
        <v>0</v>
      </c>
      <c r="AQ211" s="108">
        <v>0</v>
      </c>
      <c r="AR211" s="108">
        <f t="shared" ref="AR211:AY211" si="140">SUM(AR77:AR85)</f>
        <v>5000</v>
      </c>
      <c r="AS211" s="108">
        <f t="shared" si="140"/>
        <v>19963</v>
      </c>
      <c r="AT211" s="108">
        <f t="shared" si="140"/>
        <v>0</v>
      </c>
      <c r="AU211" s="108">
        <f t="shared" si="140"/>
        <v>3542</v>
      </c>
      <c r="AV211" s="108">
        <f t="shared" si="140"/>
        <v>4014</v>
      </c>
      <c r="AW211" s="108">
        <f t="shared" si="140"/>
        <v>0</v>
      </c>
      <c r="AX211" s="108">
        <f t="shared" si="140"/>
        <v>0</v>
      </c>
      <c r="AY211" s="108">
        <f t="shared" si="140"/>
        <v>0</v>
      </c>
      <c r="BA211" s="31"/>
      <c r="BB211" s="31"/>
      <c r="BC211" s="28"/>
    </row>
    <row r="212" spans="1:55" s="30" customFormat="1" ht="14.4" x14ac:dyDescent="0.3">
      <c r="A212" s="236" t="s">
        <v>121</v>
      </c>
      <c r="B212" s="237"/>
      <c r="C212" s="142"/>
      <c r="D212" s="81">
        <v>0</v>
      </c>
      <c r="E212" s="212">
        <v>0</v>
      </c>
      <c r="F212" s="212">
        <v>0</v>
      </c>
      <c r="G212" s="83">
        <v>0</v>
      </c>
      <c r="H212" s="212">
        <v>0</v>
      </c>
      <c r="I212" s="72" t="s">
        <v>129</v>
      </c>
      <c r="J212" s="105">
        <f>SUM(M212:AF212)</f>
        <v>0</v>
      </c>
      <c r="K212" s="238">
        <f t="shared" si="137"/>
        <v>60014</v>
      </c>
      <c r="L212" s="239">
        <f>SUM(AI212:AY212)</f>
        <v>-60014</v>
      </c>
      <c r="M212" s="243">
        <f>+M73</f>
        <v>0</v>
      </c>
      <c r="N212" s="108">
        <v>0</v>
      </c>
      <c r="O212" s="108">
        <f t="shared" ref="O212:AF212" si="141">+O73</f>
        <v>0</v>
      </c>
      <c r="P212" s="108">
        <f t="shared" si="141"/>
        <v>0</v>
      </c>
      <c r="Q212" s="108">
        <f t="shared" si="141"/>
        <v>0</v>
      </c>
      <c r="R212" s="108">
        <f t="shared" si="141"/>
        <v>0</v>
      </c>
      <c r="S212" s="108">
        <f t="shared" si="141"/>
        <v>0</v>
      </c>
      <c r="T212" s="108">
        <f t="shared" si="141"/>
        <v>0</v>
      </c>
      <c r="U212" s="108">
        <f t="shared" si="141"/>
        <v>0</v>
      </c>
      <c r="V212" s="108">
        <f t="shared" si="141"/>
        <v>0</v>
      </c>
      <c r="W212" s="108">
        <f t="shared" si="141"/>
        <v>0</v>
      </c>
      <c r="X212" s="108">
        <f t="shared" si="141"/>
        <v>0</v>
      </c>
      <c r="Y212" s="108">
        <f t="shared" si="141"/>
        <v>0</v>
      </c>
      <c r="Z212" s="108">
        <f t="shared" si="141"/>
        <v>0</v>
      </c>
      <c r="AA212" s="108">
        <f t="shared" si="141"/>
        <v>0</v>
      </c>
      <c r="AB212" s="108">
        <f t="shared" si="141"/>
        <v>0</v>
      </c>
      <c r="AC212" s="108">
        <f t="shared" si="141"/>
        <v>0</v>
      </c>
      <c r="AD212" s="108">
        <f t="shared" si="141"/>
        <v>0</v>
      </c>
      <c r="AE212" s="108">
        <f t="shared" si="141"/>
        <v>0</v>
      </c>
      <c r="AF212" s="244">
        <f t="shared" si="141"/>
        <v>0</v>
      </c>
      <c r="AG212" s="243">
        <f>+AG73</f>
        <v>0</v>
      </c>
      <c r="AH212" s="244">
        <f>+AH73</f>
        <v>60014</v>
      </c>
      <c r="AI212" s="108">
        <v>0</v>
      </c>
      <c r="AJ212" s="108">
        <f>+AJ73</f>
        <v>-77059</v>
      </c>
      <c r="AK212" s="108">
        <f>+AK73</f>
        <v>17045</v>
      </c>
      <c r="AL212" s="108">
        <v>0</v>
      </c>
      <c r="AM212" s="108">
        <f>+AM73</f>
        <v>0</v>
      </c>
      <c r="AN212" s="108">
        <f>+AN73</f>
        <v>0</v>
      </c>
      <c r="AO212" s="108">
        <f>+AO73</f>
        <v>0</v>
      </c>
      <c r="AP212" s="108">
        <f>+AP73</f>
        <v>0</v>
      </c>
      <c r="AQ212" s="108">
        <v>0</v>
      </c>
      <c r="AR212" s="108">
        <f t="shared" ref="AR212:AY212" si="142">+AR73</f>
        <v>0</v>
      </c>
      <c r="AS212" s="108">
        <f t="shared" si="142"/>
        <v>0</v>
      </c>
      <c r="AT212" s="108">
        <f t="shared" si="142"/>
        <v>0</v>
      </c>
      <c r="AU212" s="108">
        <f t="shared" si="142"/>
        <v>0</v>
      </c>
      <c r="AV212" s="108">
        <f t="shared" si="142"/>
        <v>0</v>
      </c>
      <c r="AW212" s="108">
        <f t="shared" si="142"/>
        <v>0</v>
      </c>
      <c r="AX212" s="108">
        <f t="shared" si="142"/>
        <v>0</v>
      </c>
      <c r="AY212" s="108">
        <f t="shared" si="142"/>
        <v>0</v>
      </c>
      <c r="BA212" s="31"/>
      <c r="BB212" s="31"/>
      <c r="BC212" s="28"/>
    </row>
    <row r="213" spans="1:55" s="30" customFormat="1" ht="14.4" x14ac:dyDescent="0.3">
      <c r="A213" s="236" t="s">
        <v>111</v>
      </c>
      <c r="B213" s="237"/>
      <c r="C213" s="142"/>
      <c r="D213" s="81"/>
      <c r="E213" s="212"/>
      <c r="F213" s="212"/>
      <c r="G213" s="83"/>
      <c r="H213" s="212"/>
      <c r="I213" s="72"/>
      <c r="J213" s="105"/>
      <c r="K213" s="238"/>
      <c r="L213" s="239"/>
      <c r="M213" s="243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244"/>
      <c r="AG213" s="243"/>
      <c r="AH213" s="244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X213" s="108"/>
      <c r="AY213" s="108"/>
      <c r="BA213" s="31"/>
      <c r="BB213" s="31"/>
      <c r="BC213" s="28"/>
    </row>
    <row r="214" spans="1:55" s="30" customFormat="1" ht="14.4" x14ac:dyDescent="0.3">
      <c r="A214" s="236"/>
      <c r="B214" s="237" t="s">
        <v>244</v>
      </c>
      <c r="C214" s="143"/>
      <c r="D214" s="81">
        <f>SUM(D88:D89)</f>
        <v>303790</v>
      </c>
      <c r="E214" s="212">
        <v>0</v>
      </c>
      <c r="F214" s="212">
        <f t="shared" si="132"/>
        <v>303790</v>
      </c>
      <c r="G214" s="83">
        <f>SUM(G88:G89)</f>
        <v>303790</v>
      </c>
      <c r="H214" s="212">
        <f>SUM(H88:H89)</f>
        <v>0</v>
      </c>
      <c r="I214" s="72">
        <f>+D214/G214</f>
        <v>1</v>
      </c>
      <c r="J214" s="105">
        <f t="shared" ref="J214:J215" si="143">SUM(M214:AF214)</f>
        <v>303790</v>
      </c>
      <c r="K214" s="238">
        <v>0</v>
      </c>
      <c r="L214" s="239">
        <v>0</v>
      </c>
      <c r="M214" s="243">
        <f>SUM(M88:M89)</f>
        <v>303790</v>
      </c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244"/>
      <c r="AG214" s="243"/>
      <c r="AH214" s="244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BA214" s="31"/>
      <c r="BB214" s="31"/>
      <c r="BC214" s="28"/>
    </row>
    <row r="215" spans="1:55" s="30" customFormat="1" ht="14.4" x14ac:dyDescent="0.3">
      <c r="A215" s="236"/>
      <c r="B215" s="237" t="s">
        <v>63</v>
      </c>
      <c r="C215" s="143"/>
      <c r="D215" s="81">
        <f>D90</f>
        <v>101073</v>
      </c>
      <c r="E215" s="212">
        <f>+E90</f>
        <v>567643</v>
      </c>
      <c r="F215" s="212">
        <f t="shared" si="132"/>
        <v>-466570</v>
      </c>
      <c r="G215" s="83">
        <f>SUM(G90)</f>
        <v>147393</v>
      </c>
      <c r="H215" s="212">
        <f>SUM(H90)</f>
        <v>-46320</v>
      </c>
      <c r="I215" s="72">
        <f>+D215/G215</f>
        <v>0.68573812867639572</v>
      </c>
      <c r="J215" s="105">
        <f t="shared" si="143"/>
        <v>101073</v>
      </c>
      <c r="K215" s="238">
        <v>0</v>
      </c>
      <c r="L215" s="239">
        <v>0</v>
      </c>
      <c r="M215" s="243">
        <f>SUM(M90)</f>
        <v>101073</v>
      </c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244"/>
      <c r="AG215" s="243"/>
      <c r="AH215" s="244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8"/>
      <c r="BA215" s="31"/>
      <c r="BB215" s="31"/>
      <c r="BC215" s="28"/>
    </row>
    <row r="216" spans="1:55" s="30" customFormat="1" ht="14.4" x14ac:dyDescent="0.3">
      <c r="A216" s="240" t="s">
        <v>112</v>
      </c>
      <c r="B216" s="57"/>
      <c r="C216" s="144"/>
      <c r="D216" s="84">
        <f>+D213+D211+D210+D212+D214+D215</f>
        <v>3778299.0499999993</v>
      </c>
      <c r="E216" s="179">
        <f>+E213+E211+E210+E212+E214+E215</f>
        <v>4395522</v>
      </c>
      <c r="F216" s="85">
        <f t="shared" si="132"/>
        <v>-617222.95000000065</v>
      </c>
      <c r="G216" s="86">
        <f>+G213+G211+G210+G212+G214+G215</f>
        <v>3621300</v>
      </c>
      <c r="H216" s="85">
        <f>+H213+H211+H210+H212+H214+H215</f>
        <v>156999.04999999999</v>
      </c>
      <c r="I216" s="73">
        <f>+D216/G216</f>
        <v>1.0433543340789218</v>
      </c>
      <c r="J216" s="114">
        <f>+J213+J211+J210+J212+J214+J215</f>
        <v>2862085.56</v>
      </c>
      <c r="K216" s="115">
        <f>+K213+K211+K210+K212+K214+K215</f>
        <v>124001</v>
      </c>
      <c r="L216" s="241">
        <f t="shared" ref="L216" si="144">+L213+L211+L210+L212+L214+L215</f>
        <v>792212.49</v>
      </c>
      <c r="M216" s="115">
        <f>+M213+M211+M210+M212+M214+M215</f>
        <v>2387018.8200000003</v>
      </c>
      <c r="N216" s="115">
        <f t="shared" ref="N216:AY216" si="145">+N213+N211+N210+N212</f>
        <v>0</v>
      </c>
      <c r="O216" s="115">
        <f t="shared" si="145"/>
        <v>59335</v>
      </c>
      <c r="P216" s="115">
        <f t="shared" si="145"/>
        <v>65100</v>
      </c>
      <c r="Q216" s="115">
        <f t="shared" si="145"/>
        <v>34812</v>
      </c>
      <c r="R216" s="115">
        <f t="shared" si="145"/>
        <v>15125</v>
      </c>
      <c r="S216" s="115">
        <f t="shared" si="145"/>
        <v>125</v>
      </c>
      <c r="T216" s="115">
        <f t="shared" si="145"/>
        <v>34000</v>
      </c>
      <c r="U216" s="115">
        <f t="shared" si="145"/>
        <v>60000</v>
      </c>
      <c r="V216" s="115">
        <f t="shared" si="145"/>
        <v>0</v>
      </c>
      <c r="W216" s="115">
        <f t="shared" si="145"/>
        <v>119301.48</v>
      </c>
      <c r="X216" s="115">
        <f t="shared" si="145"/>
        <v>47700</v>
      </c>
      <c r="Y216" s="115">
        <f t="shared" si="145"/>
        <v>0</v>
      </c>
      <c r="Z216" s="115">
        <f t="shared" si="145"/>
        <v>9350</v>
      </c>
      <c r="AA216" s="115">
        <f t="shared" si="145"/>
        <v>24631.260000000002</v>
      </c>
      <c r="AB216" s="115">
        <f t="shared" si="145"/>
        <v>5587</v>
      </c>
      <c r="AC216" s="115">
        <f t="shared" si="145"/>
        <v>0</v>
      </c>
      <c r="AD216" s="115">
        <f t="shared" si="145"/>
        <v>0</v>
      </c>
      <c r="AE216" s="115">
        <f t="shared" si="145"/>
        <v>0</v>
      </c>
      <c r="AF216" s="241">
        <f t="shared" si="145"/>
        <v>0</v>
      </c>
      <c r="AG216" s="115">
        <f t="shared" si="145"/>
        <v>19630</v>
      </c>
      <c r="AH216" s="241">
        <f t="shared" si="145"/>
        <v>104371</v>
      </c>
      <c r="AI216" s="115">
        <f t="shared" si="145"/>
        <v>272305</v>
      </c>
      <c r="AJ216" s="115">
        <f t="shared" si="145"/>
        <v>66476.799999999988</v>
      </c>
      <c r="AK216" s="115">
        <f t="shared" si="145"/>
        <v>35683</v>
      </c>
      <c r="AL216" s="115">
        <f t="shared" ref="AL216:AM216" si="146">+AL213+AL211+AL210+AL212</f>
        <v>0</v>
      </c>
      <c r="AM216" s="115">
        <f t="shared" si="146"/>
        <v>186963.99</v>
      </c>
      <c r="AN216" s="115">
        <f t="shared" si="145"/>
        <v>500</v>
      </c>
      <c r="AO216" s="115">
        <f t="shared" si="145"/>
        <v>22705.57</v>
      </c>
      <c r="AP216" s="115">
        <f t="shared" si="145"/>
        <v>18140.78</v>
      </c>
      <c r="AQ216" s="115">
        <f t="shared" si="145"/>
        <v>75000</v>
      </c>
      <c r="AR216" s="115">
        <f t="shared" si="145"/>
        <v>5000</v>
      </c>
      <c r="AS216" s="115">
        <f t="shared" si="145"/>
        <v>55436.29</v>
      </c>
      <c r="AT216" s="115">
        <f t="shared" ref="AT216" si="147">+AT213+AT211+AT210+AT212</f>
        <v>150</v>
      </c>
      <c r="AU216" s="115">
        <f t="shared" si="145"/>
        <v>3542</v>
      </c>
      <c r="AV216" s="115">
        <f t="shared" si="145"/>
        <v>5000.57</v>
      </c>
      <c r="AW216" s="115">
        <f t="shared" ref="AW216" si="148">+AW213+AW211+AW210+AW212</f>
        <v>3000</v>
      </c>
      <c r="AX216" s="115">
        <f t="shared" si="145"/>
        <v>6909.99</v>
      </c>
      <c r="AY216" s="115">
        <f t="shared" si="145"/>
        <v>35398.5</v>
      </c>
      <c r="BA216" s="31"/>
      <c r="BB216" s="31"/>
      <c r="BC216" s="28"/>
    </row>
    <row r="217" spans="1:55" s="30" customFormat="1" ht="14.4" x14ac:dyDescent="0.3">
      <c r="A217" s="236"/>
      <c r="B217" s="237"/>
      <c r="C217" s="142"/>
      <c r="D217" s="81"/>
      <c r="E217" s="212"/>
      <c r="F217" s="242"/>
      <c r="G217" s="83"/>
      <c r="H217" s="212"/>
      <c r="I217" s="72"/>
      <c r="J217" s="107"/>
      <c r="K217" s="243"/>
      <c r="L217" s="244"/>
      <c r="M217" s="243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244"/>
      <c r="AG217" s="243"/>
      <c r="AH217" s="244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08"/>
      <c r="BA217" s="31"/>
      <c r="BB217" s="31"/>
      <c r="BC217" s="28"/>
    </row>
    <row r="218" spans="1:55" s="30" customFormat="1" ht="14.4" x14ac:dyDescent="0.3">
      <c r="A218" s="240" t="s">
        <v>113</v>
      </c>
      <c r="B218" s="57"/>
      <c r="C218" s="144"/>
      <c r="D218" s="84">
        <f>SUM(D203)</f>
        <v>3511334.9299999988</v>
      </c>
      <c r="E218" s="85">
        <f>SUM(E203)</f>
        <v>4022539.68</v>
      </c>
      <c r="F218" s="85">
        <f t="shared" si="132"/>
        <v>-511204.7500000014</v>
      </c>
      <c r="G218" s="86">
        <f>SUM(G203)</f>
        <v>3621300</v>
      </c>
      <c r="H218" s="85">
        <f>SUM(H203)</f>
        <v>109965.07000000015</v>
      </c>
      <c r="I218" s="73">
        <f>+D218/G218</f>
        <v>0.96963381382376457</v>
      </c>
      <c r="J218" s="131">
        <f>SUM(M218:AF218)</f>
        <v>2862085.669999999</v>
      </c>
      <c r="K218" s="132">
        <f t="shared" ref="K218" si="149">SUM(AG218:AH218)</f>
        <v>178372.65999999997</v>
      </c>
      <c r="L218" s="245">
        <f>SUM(AI218:AY218)</f>
        <v>470876.14999999997</v>
      </c>
      <c r="M218" s="115">
        <f t="shared" ref="M218:AG218" si="150">SUM(M203)</f>
        <v>1066431.93</v>
      </c>
      <c r="N218" s="115">
        <f t="shared" si="150"/>
        <v>15000</v>
      </c>
      <c r="O218" s="115">
        <f t="shared" si="150"/>
        <v>93121.170000000013</v>
      </c>
      <c r="P218" s="115">
        <f t="shared" si="150"/>
        <v>101766.68000000001</v>
      </c>
      <c r="Q218" s="115">
        <f t="shared" si="150"/>
        <v>209352</v>
      </c>
      <c r="R218" s="115">
        <f t="shared" si="150"/>
        <v>167781.95</v>
      </c>
      <c r="S218" s="115">
        <f t="shared" si="150"/>
        <v>149592.38</v>
      </c>
      <c r="T218" s="115">
        <f t="shared" si="150"/>
        <v>50095.729999999996</v>
      </c>
      <c r="U218" s="115">
        <f t="shared" si="150"/>
        <v>167577.5</v>
      </c>
      <c r="V218" s="115">
        <f t="shared" si="150"/>
        <v>56929.69</v>
      </c>
      <c r="W218" s="115">
        <f t="shared" si="150"/>
        <v>81908.709999999992</v>
      </c>
      <c r="X218" s="115">
        <f t="shared" si="150"/>
        <v>38038.959999999999</v>
      </c>
      <c r="Y218" s="115">
        <f t="shared" si="150"/>
        <v>12487.69</v>
      </c>
      <c r="Z218" s="115">
        <f t="shared" si="150"/>
        <v>11205.86</v>
      </c>
      <c r="AA218" s="115">
        <f t="shared" si="150"/>
        <v>81645.259999999995</v>
      </c>
      <c r="AB218" s="115">
        <f t="shared" si="150"/>
        <v>111907.75</v>
      </c>
      <c r="AC218" s="115">
        <f t="shared" si="150"/>
        <v>233320.57</v>
      </c>
      <c r="AD218" s="115">
        <f t="shared" si="150"/>
        <v>168433.94</v>
      </c>
      <c r="AE218" s="115">
        <f t="shared" si="150"/>
        <v>25917.09</v>
      </c>
      <c r="AF218" s="241">
        <f t="shared" si="150"/>
        <v>19570.810000000001</v>
      </c>
      <c r="AG218" s="115">
        <f t="shared" si="150"/>
        <v>74001.98</v>
      </c>
      <c r="AH218" s="241">
        <f>SUM(AH203)-0.45</f>
        <v>104370.68</v>
      </c>
      <c r="AI218" s="115">
        <f t="shared" ref="AI218:AY218" si="151">SUM(AI203)</f>
        <v>181840.16</v>
      </c>
      <c r="AJ218" s="115">
        <f t="shared" si="151"/>
        <v>66476.39</v>
      </c>
      <c r="AK218" s="115">
        <f t="shared" si="151"/>
        <v>35682.770000000004</v>
      </c>
      <c r="AL218" s="115">
        <f t="shared" si="151"/>
        <v>0</v>
      </c>
      <c r="AM218" s="115">
        <f t="shared" si="151"/>
        <v>0</v>
      </c>
      <c r="AN218" s="115">
        <f t="shared" si="151"/>
        <v>0</v>
      </c>
      <c r="AO218" s="115">
        <f t="shared" si="151"/>
        <v>22648</v>
      </c>
      <c r="AP218" s="115">
        <f t="shared" si="151"/>
        <v>11251.94</v>
      </c>
      <c r="AQ218" s="115">
        <f t="shared" si="151"/>
        <v>60000</v>
      </c>
      <c r="AR218" s="115">
        <f t="shared" si="151"/>
        <v>5000</v>
      </c>
      <c r="AS218" s="115">
        <f t="shared" si="151"/>
        <v>55435.79</v>
      </c>
      <c r="AT218" s="115">
        <f t="shared" si="151"/>
        <v>0</v>
      </c>
      <c r="AU218" s="115">
        <f t="shared" si="151"/>
        <v>3541.1</v>
      </c>
      <c r="AV218" s="115">
        <f t="shared" si="151"/>
        <v>5000</v>
      </c>
      <c r="AW218" s="115">
        <f t="shared" si="151"/>
        <v>0</v>
      </c>
      <c r="AX218" s="115">
        <f t="shared" si="151"/>
        <v>0</v>
      </c>
      <c r="AY218" s="115">
        <f t="shared" si="151"/>
        <v>24000</v>
      </c>
      <c r="BA218" s="31"/>
      <c r="BB218" s="31"/>
      <c r="BC218" s="28"/>
    </row>
    <row r="219" spans="1:55" s="30" customFormat="1" ht="15" thickBot="1" x14ac:dyDescent="0.35">
      <c r="A219" s="236"/>
      <c r="B219" s="237"/>
      <c r="C219" s="142"/>
      <c r="D219" s="81"/>
      <c r="E219" s="212"/>
      <c r="F219" s="242"/>
      <c r="G219" s="83"/>
      <c r="H219" s="212"/>
      <c r="I219" s="70"/>
      <c r="J219" s="107"/>
      <c r="K219" s="243"/>
      <c r="L219" s="244"/>
      <c r="M219" s="243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244"/>
      <c r="AG219" s="243"/>
      <c r="AH219" s="244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BA219" s="31"/>
      <c r="BB219" s="31"/>
      <c r="BC219" s="28"/>
    </row>
    <row r="220" spans="1:55" s="30" customFormat="1" ht="15" thickBot="1" x14ac:dyDescent="0.35">
      <c r="A220" s="247" t="s">
        <v>135</v>
      </c>
      <c r="B220" s="248"/>
      <c r="C220" s="249"/>
      <c r="D220" s="96">
        <f t="shared" ref="D220" si="152">+D216-D218-0.45</f>
        <v>266963.67000000057</v>
      </c>
      <c r="E220" s="97">
        <f>+E216-E218-0.45</f>
        <v>372981.86999999982</v>
      </c>
      <c r="F220" s="97">
        <f t="shared" si="132"/>
        <v>-106018.19999999925</v>
      </c>
      <c r="G220" s="98">
        <f t="shared" ref="G220" si="153">+G216-G218-0.45</f>
        <v>-0.45</v>
      </c>
      <c r="H220" s="97">
        <f t="shared" ref="H220" si="154">+H219+H217+H216+H218</f>
        <v>266964.12000000011</v>
      </c>
      <c r="I220" s="250"/>
      <c r="J220" s="129">
        <f>+J216-J218</f>
        <v>-0.10999999893829226</v>
      </c>
      <c r="K220" s="130">
        <f t="shared" ref="K220:L220" si="155">+K216-K218-0.45</f>
        <v>-54372.109999999971</v>
      </c>
      <c r="L220" s="251">
        <f t="shared" si="155"/>
        <v>321335.89</v>
      </c>
      <c r="M220" s="307">
        <f t="shared" ref="M220:AF220" si="156">+M216-M218-0.45</f>
        <v>1320586.4400000004</v>
      </c>
      <c r="N220" s="308">
        <f t="shared" si="156"/>
        <v>-15000.45</v>
      </c>
      <c r="O220" s="308">
        <f t="shared" si="156"/>
        <v>-33786.62000000001</v>
      </c>
      <c r="P220" s="308">
        <f t="shared" si="156"/>
        <v>-36667.130000000005</v>
      </c>
      <c r="Q220" s="308">
        <f t="shared" si="156"/>
        <v>-174540.45</v>
      </c>
      <c r="R220" s="308">
        <f t="shared" si="156"/>
        <v>-152657.40000000002</v>
      </c>
      <c r="S220" s="308">
        <f t="shared" si="156"/>
        <v>-149467.83000000002</v>
      </c>
      <c r="T220" s="308">
        <f t="shared" si="156"/>
        <v>-16096.179999999997</v>
      </c>
      <c r="U220" s="308">
        <f t="shared" si="156"/>
        <v>-107577.95</v>
      </c>
      <c r="V220" s="308">
        <f t="shared" si="156"/>
        <v>-56930.14</v>
      </c>
      <c r="W220" s="308">
        <f t="shared" si="156"/>
        <v>37392.320000000007</v>
      </c>
      <c r="X220" s="308">
        <f t="shared" si="156"/>
        <v>9660.59</v>
      </c>
      <c r="Y220" s="308">
        <f t="shared" si="156"/>
        <v>-12488.140000000001</v>
      </c>
      <c r="Z220" s="308">
        <f t="shared" si="156"/>
        <v>-1856.3100000000006</v>
      </c>
      <c r="AA220" s="309">
        <f t="shared" si="156"/>
        <v>-57014.44999999999</v>
      </c>
      <c r="AB220" s="130">
        <f t="shared" si="156"/>
        <v>-106321.2</v>
      </c>
      <c r="AC220" s="130">
        <f t="shared" si="156"/>
        <v>-233321.02000000002</v>
      </c>
      <c r="AD220" s="130">
        <f t="shared" si="156"/>
        <v>-168434.39</v>
      </c>
      <c r="AE220" s="130">
        <f t="shared" si="156"/>
        <v>-25917.54</v>
      </c>
      <c r="AF220" s="251">
        <f t="shared" si="156"/>
        <v>-19571.260000000002</v>
      </c>
      <c r="AG220" s="130">
        <f t="shared" ref="AG220:AI220" si="157">+AG216-AG218-0.45</f>
        <v>-54372.429999999993</v>
      </c>
      <c r="AH220" s="251">
        <f t="shared" si="157"/>
        <v>-0.12999999999301509</v>
      </c>
      <c r="AI220" s="130">
        <f t="shared" si="157"/>
        <v>90464.39</v>
      </c>
      <c r="AJ220" s="130">
        <f t="shared" ref="AJ220:AY220" si="158">+AJ216-AJ218-0.45</f>
        <v>-4.0000000011059467E-2</v>
      </c>
      <c r="AK220" s="130">
        <f t="shared" si="158"/>
        <v>-0.22000000000407455</v>
      </c>
      <c r="AL220" s="130">
        <f t="shared" ref="AL220:AM220" si="159">+AL216-AL218-0.45</f>
        <v>-0.45</v>
      </c>
      <c r="AM220" s="130">
        <f t="shared" si="159"/>
        <v>186963.53999999998</v>
      </c>
      <c r="AN220" s="130">
        <f t="shared" si="158"/>
        <v>499.55</v>
      </c>
      <c r="AO220" s="130">
        <f t="shared" si="158"/>
        <v>57.119999999999706</v>
      </c>
      <c r="AP220" s="130">
        <f t="shared" si="158"/>
        <v>6888.3899999999985</v>
      </c>
      <c r="AQ220" s="130">
        <f t="shared" ref="AQ220" si="160">+AQ216-AQ218-0.45</f>
        <v>14999.55</v>
      </c>
      <c r="AR220" s="130">
        <f t="shared" si="158"/>
        <v>-0.45</v>
      </c>
      <c r="AS220" s="130">
        <f t="shared" si="158"/>
        <v>4.9999999999999989E-2</v>
      </c>
      <c r="AT220" s="130">
        <f t="shared" ref="AT220" si="161">+AT216-AT218-0.45</f>
        <v>149.55000000000001</v>
      </c>
      <c r="AU220" s="130">
        <f t="shared" si="158"/>
        <v>0.45000000000009094</v>
      </c>
      <c r="AV220" s="130">
        <f t="shared" si="158"/>
        <v>0.11999999999970895</v>
      </c>
      <c r="AW220" s="130">
        <f t="shared" ref="AW220" si="162">+AW216-AW218-0.45</f>
        <v>2999.55</v>
      </c>
      <c r="AX220" s="130">
        <f t="shared" si="158"/>
        <v>6909.54</v>
      </c>
      <c r="AY220" s="130">
        <f t="shared" si="158"/>
        <v>11398.05</v>
      </c>
      <c r="BA220" s="31"/>
      <c r="BB220" s="31"/>
      <c r="BC220" s="28"/>
    </row>
    <row r="221" spans="1:55" s="28" customFormat="1" thickTop="1" thickBot="1" x14ac:dyDescent="0.35">
      <c r="B221" s="32"/>
      <c r="D221" s="30"/>
      <c r="E221" s="30"/>
      <c r="F221" s="30"/>
      <c r="G221" s="30"/>
      <c r="H221" s="30"/>
      <c r="I221" s="61"/>
      <c r="J221" s="69"/>
      <c r="K221" s="69"/>
      <c r="L221" s="69"/>
      <c r="M221" s="298"/>
      <c r="N221" s="299"/>
      <c r="O221" s="299"/>
      <c r="P221" s="299"/>
      <c r="Q221" s="299"/>
      <c r="R221" s="299"/>
      <c r="S221" s="299"/>
      <c r="T221" s="299"/>
      <c r="U221" s="299"/>
      <c r="V221" s="299"/>
      <c r="W221" s="299"/>
      <c r="X221" s="299"/>
      <c r="Y221" s="299"/>
      <c r="Z221" s="299"/>
      <c r="AA221" s="300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30"/>
      <c r="BA221" s="31"/>
      <c r="BB221" s="31"/>
    </row>
    <row r="222" spans="1:55" s="28" customFormat="1" ht="14.4" x14ac:dyDescent="0.3">
      <c r="B222" s="32"/>
      <c r="D222" s="30"/>
      <c r="E222" s="30"/>
      <c r="F222" s="30"/>
      <c r="G222" s="30"/>
      <c r="H222" s="67"/>
      <c r="I222" s="61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1"/>
      <c r="BB222" s="31"/>
    </row>
  </sheetData>
  <mergeCells count="10">
    <mergeCell ref="A1:J1"/>
    <mergeCell ref="J4:L4"/>
    <mergeCell ref="A2:F2"/>
    <mergeCell ref="A3:D3"/>
    <mergeCell ref="AG4:AH4"/>
    <mergeCell ref="D4:F4"/>
    <mergeCell ref="G4:I4"/>
    <mergeCell ref="A96:C96"/>
    <mergeCell ref="A5:C5"/>
    <mergeCell ref="A7:C7"/>
  </mergeCells>
  <printOptions horizontalCentered="1" headings="1" gridLines="1"/>
  <pageMargins left="0.45" right="0.45" top="1" bottom="0.75" header="0.3" footer="0.3"/>
  <pageSetup scale="86" fitToHeight="0" orientation="landscape" r:id="rId1"/>
  <headerFooter>
    <oddHeader xml:space="preserve">&amp;C&amp;"-,Bold"&amp;12Rocky Mountain Synod ELCA
&amp;11Statement of Revenues &amp; Expenditures - All Funds&amp;"-,Regular"
&amp;"-,Bold"Fiscal Year Ending January 31, 2024 &amp;"-,Regular"(unaudited)
</oddHeader>
    <oddFooter>&amp;C&amp;10Page &amp;P of &amp;N</oddFooter>
  </headerFooter>
  <rowBreaks count="6" manualBreakCount="6">
    <brk id="34" max="11" man="1"/>
    <brk id="64" max="11" man="1"/>
    <brk id="92" max="11" man="1"/>
    <brk id="125" max="11" man="1"/>
    <brk id="159" max="11" man="1"/>
    <brk id="190" max="11" man="1"/>
  </rowBreaks>
  <ignoredErrors>
    <ignoredError sqref="K27 K59 K63 J64 K78 J80 J104 L109:L110 K113 J117 L115:L116 K118 K141 K152:K153 K163 K172:L172 K179 K181:K183 G214 J33 L37 L154" formulaRange="1"/>
    <ignoredError sqref="I92 K99 K140 I203 F207 F210:F211 I216 F218 F220 AH218 F75 I75 J123 L123 F203 F2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326E8-F7A1-437B-837B-22EA231B8D5B}">
  <sheetPr>
    <tabColor rgb="FF7030A0"/>
    <pageSetUpPr fitToPage="1"/>
  </sheetPr>
  <dimension ref="A1:AN218"/>
  <sheetViews>
    <sheetView zoomScaleNormal="100" workbookViewId="0">
      <pane xSplit="3" ySplit="5" topLeftCell="D6" activePane="bottomRight" state="frozen"/>
      <selection pane="topRight" activeCell="D1" sqref="D1"/>
      <selection pane="bottomLeft" activeCell="A4" sqref="A4"/>
      <selection pane="bottomRight" sqref="A1:I1"/>
    </sheetView>
  </sheetViews>
  <sheetFormatPr defaultColWidth="9.109375" defaultRowHeight="15.6" x14ac:dyDescent="0.3"/>
  <cols>
    <col min="1" max="1" width="2.6640625" style="1" customWidth="1"/>
    <col min="2" max="2" width="2.6640625" style="12" customWidth="1"/>
    <col min="3" max="3" width="36.88671875" style="1" customWidth="1"/>
    <col min="4" max="6" width="13.109375" style="2" customWidth="1"/>
    <col min="7" max="8" width="13" style="2" customWidth="1"/>
    <col min="9" max="9" width="10.5546875" style="2" customWidth="1"/>
    <col min="10" max="10" width="15.88671875" style="2" customWidth="1"/>
    <col min="11" max="11" width="9.5546875" style="2" customWidth="1"/>
    <col min="12" max="12" width="13.33203125" style="2" customWidth="1"/>
    <col min="13" max="13" width="14" style="2" customWidth="1"/>
    <col min="14" max="14" width="13.33203125" style="2" customWidth="1"/>
    <col min="15" max="15" width="15.6640625" style="2" customWidth="1"/>
    <col min="16" max="16" width="10.6640625" style="2" customWidth="1"/>
    <col min="17" max="17" width="11.6640625" style="2" customWidth="1"/>
    <col min="18" max="18" width="12.6640625" style="2" customWidth="1"/>
    <col min="19" max="19" width="12.5546875" style="2" customWidth="1"/>
    <col min="20" max="20" width="13.5546875" style="2" customWidth="1"/>
    <col min="21" max="21" width="13.88671875" style="2" customWidth="1"/>
    <col min="22" max="22" width="11.88671875" style="2" customWidth="1"/>
    <col min="23" max="23" width="13.33203125" style="2" customWidth="1"/>
    <col min="24" max="24" width="12.6640625" style="2" customWidth="1"/>
    <col min="25" max="25" width="10.6640625" style="2" customWidth="1"/>
    <col min="26" max="26" width="11.44140625" style="2" customWidth="1"/>
    <col min="27" max="27" width="14.5546875" style="2" customWidth="1"/>
    <col min="28" max="28" width="16" style="2" customWidth="1"/>
    <col min="29" max="29" width="13.109375" style="2" customWidth="1"/>
    <col min="30" max="30" width="9.109375" style="2" customWidth="1"/>
    <col min="31" max="32" width="9.109375" style="3" customWidth="1"/>
    <col min="33" max="37" width="9.109375" style="1" customWidth="1"/>
    <col min="38" max="16384" width="9.109375" style="1"/>
  </cols>
  <sheetData>
    <row r="1" spans="1:40" ht="16.95" customHeight="1" x14ac:dyDescent="0.3">
      <c r="A1" s="224" t="s">
        <v>245</v>
      </c>
      <c r="B1" s="224"/>
      <c r="C1" s="224"/>
      <c r="D1" s="224"/>
      <c r="E1" s="224"/>
      <c r="F1" s="224"/>
      <c r="G1" s="224"/>
      <c r="H1" s="224"/>
      <c r="I1" s="224"/>
    </row>
    <row r="2" spans="1:40" ht="16.95" customHeight="1" x14ac:dyDescent="0.3">
      <c r="A2" s="219" t="s">
        <v>246</v>
      </c>
      <c r="B2" s="219"/>
      <c r="C2" s="219"/>
      <c r="D2" s="219"/>
      <c r="E2" s="219"/>
      <c r="F2" s="219"/>
      <c r="G2" s="219"/>
      <c r="H2" s="219"/>
      <c r="I2" s="219"/>
    </row>
    <row r="3" spans="1:40" ht="16.95" customHeight="1" x14ac:dyDescent="0.3">
      <c r="A3" s="219" t="s">
        <v>260</v>
      </c>
      <c r="B3" s="219"/>
      <c r="C3" s="219"/>
      <c r="D3" s="219"/>
      <c r="E3" s="219"/>
      <c r="F3" s="219"/>
      <c r="G3" s="219"/>
      <c r="H3" s="219"/>
      <c r="I3" s="219"/>
    </row>
    <row r="4" spans="1:40" ht="16.2" thickBot="1" x14ac:dyDescent="0.35">
      <c r="D4" s="214" t="s">
        <v>226</v>
      </c>
      <c r="E4" s="215"/>
      <c r="F4" s="216"/>
      <c r="G4" s="214" t="s">
        <v>227</v>
      </c>
      <c r="H4" s="215"/>
      <c r="I4" s="216"/>
    </row>
    <row r="5" spans="1:40" s="27" customFormat="1" ht="58.2" thickBot="1" x14ac:dyDescent="0.35">
      <c r="A5" s="221" t="s">
        <v>0</v>
      </c>
      <c r="B5" s="222"/>
      <c r="C5" s="222"/>
      <c r="D5" s="46" t="s">
        <v>216</v>
      </c>
      <c r="E5" s="45" t="s">
        <v>258</v>
      </c>
      <c r="F5" s="45" t="s">
        <v>132</v>
      </c>
      <c r="G5" s="48" t="s">
        <v>248</v>
      </c>
      <c r="H5" s="45" t="s">
        <v>115</v>
      </c>
      <c r="I5" s="271" t="s">
        <v>128</v>
      </c>
      <c r="J5" s="258" t="s">
        <v>1</v>
      </c>
      <c r="K5" s="207" t="s">
        <v>2</v>
      </c>
      <c r="L5" s="207" t="s">
        <v>3</v>
      </c>
      <c r="M5" s="207" t="s">
        <v>4</v>
      </c>
      <c r="N5" s="207" t="s">
        <v>5</v>
      </c>
      <c r="O5" s="207" t="s">
        <v>6</v>
      </c>
      <c r="P5" s="207" t="s">
        <v>7</v>
      </c>
      <c r="Q5" s="207" t="s">
        <v>8</v>
      </c>
      <c r="R5" s="207" t="s">
        <v>9</v>
      </c>
      <c r="S5" s="207" t="s">
        <v>218</v>
      </c>
      <c r="T5" s="207" t="s">
        <v>11</v>
      </c>
      <c r="U5" s="207" t="s">
        <v>12</v>
      </c>
      <c r="V5" s="207" t="s">
        <v>13</v>
      </c>
      <c r="W5" s="207" t="s">
        <v>14</v>
      </c>
      <c r="X5" s="207" t="s">
        <v>15</v>
      </c>
      <c r="Y5" s="207" t="s">
        <v>16</v>
      </c>
      <c r="Z5" s="207" t="s">
        <v>17</v>
      </c>
      <c r="AA5" s="207" t="s">
        <v>18</v>
      </c>
      <c r="AB5" s="207" t="s">
        <v>19</v>
      </c>
      <c r="AC5" s="207" t="s">
        <v>20</v>
      </c>
      <c r="AD5" s="25"/>
      <c r="AE5" s="26"/>
      <c r="AF5" s="26"/>
    </row>
    <row r="6" spans="1:40" s="8" customFormat="1" ht="7.2" customHeight="1" x14ac:dyDescent="0.3">
      <c r="A6" s="16" t="s">
        <v>31</v>
      </c>
      <c r="B6" s="12"/>
      <c r="C6" s="16"/>
      <c r="D6" s="192"/>
      <c r="E6" s="208"/>
      <c r="F6" s="208"/>
      <c r="G6" s="259"/>
      <c r="H6" s="152"/>
      <c r="I6" s="19"/>
      <c r="J6" s="166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5"/>
      <c r="AE6" s="6"/>
      <c r="AF6" s="6"/>
      <c r="AG6" s="7"/>
      <c r="AH6" s="7"/>
      <c r="AI6" s="7"/>
      <c r="AJ6" s="7"/>
      <c r="AK6" s="7"/>
      <c r="AL6" s="7"/>
      <c r="AM6" s="7"/>
      <c r="AN6" s="7"/>
    </row>
    <row r="7" spans="1:40" s="8" customFormat="1" ht="17.25" customHeight="1" x14ac:dyDescent="0.3">
      <c r="A7" s="219" t="s">
        <v>32</v>
      </c>
      <c r="B7" s="219"/>
      <c r="C7" s="219"/>
      <c r="D7" s="193"/>
      <c r="E7" s="209"/>
      <c r="F7" s="209"/>
      <c r="G7" s="260"/>
      <c r="H7" s="153"/>
      <c r="I7" s="154"/>
      <c r="J7" s="167"/>
      <c r="K7" s="155"/>
      <c r="L7" s="155"/>
      <c r="M7" s="155"/>
      <c r="N7" s="155"/>
      <c r="O7" s="155" t="s">
        <v>31</v>
      </c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5"/>
      <c r="AE7" s="6"/>
      <c r="AF7" s="6"/>
      <c r="AG7" s="7"/>
      <c r="AH7" s="7"/>
      <c r="AI7" s="7"/>
      <c r="AJ7" s="7"/>
      <c r="AK7" s="7"/>
      <c r="AL7" s="7"/>
      <c r="AM7" s="7"/>
      <c r="AN7" s="7"/>
    </row>
    <row r="8" spans="1:40" s="8" customFormat="1" ht="17.25" customHeight="1" x14ac:dyDescent="0.3">
      <c r="A8" s="255" t="s">
        <v>33</v>
      </c>
      <c r="B8" s="27"/>
      <c r="C8" s="27"/>
      <c r="D8" s="185"/>
      <c r="E8" s="153"/>
      <c r="F8" s="153"/>
      <c r="G8" s="260"/>
      <c r="H8" s="153"/>
      <c r="I8" s="154"/>
      <c r="J8" s="167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5"/>
      <c r="AE8" s="6"/>
      <c r="AF8" s="6"/>
      <c r="AG8" s="7"/>
      <c r="AH8" s="7"/>
      <c r="AI8" s="7"/>
      <c r="AJ8" s="7"/>
      <c r="AK8" s="7"/>
      <c r="AL8" s="7"/>
      <c r="AM8" s="7"/>
      <c r="AN8" s="7"/>
    </row>
    <row r="9" spans="1:40" ht="17.25" customHeight="1" x14ac:dyDescent="0.3">
      <c r="A9" s="28"/>
      <c r="B9" s="28" t="s">
        <v>34</v>
      </c>
      <c r="C9" s="28"/>
      <c r="D9" s="186">
        <f>SUM(J9:AC9)</f>
        <v>1924731.5</v>
      </c>
      <c r="E9" s="156">
        <v>2063320</v>
      </c>
      <c r="F9" s="82">
        <f>D9-E9</f>
        <v>-138588.5</v>
      </c>
      <c r="G9" s="261">
        <v>2100000</v>
      </c>
      <c r="H9" s="157">
        <f>+D9-G9</f>
        <v>-175268.5</v>
      </c>
      <c r="I9" s="158">
        <f>+D9/G9</f>
        <v>0.91653880952380951</v>
      </c>
      <c r="J9" s="168">
        <v>1924731.5</v>
      </c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</row>
    <row r="10" spans="1:40" ht="17.25" customHeight="1" x14ac:dyDescent="0.3">
      <c r="A10" s="28"/>
      <c r="B10" s="28" t="s">
        <v>35</v>
      </c>
      <c r="C10" s="28"/>
      <c r="D10" s="186" t="s">
        <v>31</v>
      </c>
      <c r="E10" s="156"/>
      <c r="F10" s="156"/>
      <c r="G10" s="261"/>
      <c r="H10" s="156"/>
      <c r="I10" s="159"/>
      <c r="J10" s="168"/>
      <c r="K10" s="14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</row>
    <row r="11" spans="1:40" ht="17.25" hidden="1" customHeight="1" x14ac:dyDescent="0.3">
      <c r="A11" s="28"/>
      <c r="B11" s="28"/>
      <c r="C11" s="28" t="s">
        <v>36</v>
      </c>
      <c r="D11" s="186">
        <f t="shared" ref="D11:D20" si="0">SUM(J11:AC11)</f>
        <v>0</v>
      </c>
      <c r="E11" s="156"/>
      <c r="F11" s="156"/>
      <c r="G11" s="261">
        <v>0</v>
      </c>
      <c r="H11" s="157">
        <f t="shared" ref="H11:H20" si="1">+D11-G11</f>
        <v>0</v>
      </c>
      <c r="I11" s="158" t="s">
        <v>129</v>
      </c>
      <c r="J11" s="168"/>
      <c r="K11" s="14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</row>
    <row r="12" spans="1:40" s="2" customFormat="1" ht="17.25" customHeight="1" x14ac:dyDescent="0.3">
      <c r="A12" s="28"/>
      <c r="B12" s="28"/>
      <c r="C12" s="28" t="s">
        <v>38</v>
      </c>
      <c r="D12" s="186">
        <f t="shared" si="0"/>
        <v>117000</v>
      </c>
      <c r="E12" s="156">
        <v>82000</v>
      </c>
      <c r="F12" s="82">
        <f t="shared" ref="F12:F19" si="2">D12-E12</f>
        <v>35000</v>
      </c>
      <c r="G12" s="261">
        <v>116000</v>
      </c>
      <c r="H12" s="157">
        <f t="shared" si="1"/>
        <v>1000</v>
      </c>
      <c r="I12" s="158">
        <f t="shared" ref="I12:I19" si="3">+D12/G12</f>
        <v>1.0086206896551724</v>
      </c>
      <c r="J12" s="168"/>
      <c r="K12" s="147"/>
      <c r="L12" s="157">
        <f>41000+17500</f>
        <v>58500</v>
      </c>
      <c r="M12" s="157">
        <f>17500+41000</f>
        <v>58500</v>
      </c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E12" s="3"/>
      <c r="AF12" s="3"/>
      <c r="AG12" s="1"/>
      <c r="AH12" s="1"/>
      <c r="AI12" s="1"/>
      <c r="AJ12" s="1"/>
      <c r="AK12" s="1"/>
      <c r="AL12" s="1"/>
      <c r="AM12" s="1"/>
      <c r="AN12" s="1"/>
    </row>
    <row r="13" spans="1:40" s="2" customFormat="1" ht="17.25" hidden="1" customHeight="1" x14ac:dyDescent="0.3">
      <c r="A13" s="28"/>
      <c r="B13" s="28"/>
      <c r="C13" s="28" t="s">
        <v>130</v>
      </c>
      <c r="D13" s="186">
        <f t="shared" si="0"/>
        <v>0</v>
      </c>
      <c r="E13" s="156"/>
      <c r="F13" s="82">
        <f t="shared" si="2"/>
        <v>0</v>
      </c>
      <c r="G13" s="261">
        <v>0</v>
      </c>
      <c r="H13" s="157">
        <f t="shared" si="1"/>
        <v>0</v>
      </c>
      <c r="I13" s="158" t="e">
        <f t="shared" si="3"/>
        <v>#DIV/0!</v>
      </c>
      <c r="J13" s="168"/>
      <c r="K13" s="14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E13" s="3"/>
      <c r="AF13" s="3"/>
      <c r="AG13" s="1"/>
      <c r="AH13" s="1"/>
      <c r="AI13" s="1"/>
      <c r="AJ13" s="1"/>
      <c r="AK13" s="1"/>
      <c r="AL13" s="1"/>
      <c r="AM13" s="1"/>
      <c r="AN13" s="1"/>
    </row>
    <row r="14" spans="1:40" s="2" customFormat="1" ht="17.25" hidden="1" customHeight="1" x14ac:dyDescent="0.3">
      <c r="A14" s="28"/>
      <c r="B14" s="28"/>
      <c r="C14" s="28" t="s">
        <v>154</v>
      </c>
      <c r="D14" s="186">
        <f t="shared" si="0"/>
        <v>0</v>
      </c>
      <c r="E14" s="156"/>
      <c r="F14" s="82">
        <f t="shared" si="2"/>
        <v>0</v>
      </c>
      <c r="G14" s="261">
        <v>0</v>
      </c>
      <c r="H14" s="157">
        <f t="shared" si="1"/>
        <v>0</v>
      </c>
      <c r="I14" s="158" t="e">
        <f t="shared" si="3"/>
        <v>#DIV/0!</v>
      </c>
      <c r="J14" s="168"/>
      <c r="K14" s="14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E14" s="3"/>
      <c r="AF14" s="3"/>
      <c r="AG14" s="1"/>
      <c r="AH14" s="1"/>
      <c r="AI14" s="1"/>
      <c r="AJ14" s="1"/>
      <c r="AK14" s="1"/>
      <c r="AL14" s="1"/>
      <c r="AM14" s="1"/>
      <c r="AN14" s="1"/>
    </row>
    <row r="15" spans="1:40" s="2" customFormat="1" ht="17.25" customHeight="1" x14ac:dyDescent="0.3">
      <c r="A15" s="28"/>
      <c r="B15" s="28"/>
      <c r="C15" s="28" t="s">
        <v>37</v>
      </c>
      <c r="D15" s="186">
        <f t="shared" si="0"/>
        <v>34812</v>
      </c>
      <c r="E15" s="156">
        <v>34812</v>
      </c>
      <c r="F15" s="82">
        <f t="shared" si="2"/>
        <v>0</v>
      </c>
      <c r="G15" s="261">
        <v>40000</v>
      </c>
      <c r="H15" s="157">
        <f t="shared" si="1"/>
        <v>-5188</v>
      </c>
      <c r="I15" s="158">
        <f t="shared" si="3"/>
        <v>0.87029999999999996</v>
      </c>
      <c r="J15" s="168"/>
      <c r="K15" s="147"/>
      <c r="L15" s="157"/>
      <c r="M15" s="157"/>
      <c r="N15" s="157">
        <v>34812</v>
      </c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E15" s="3"/>
      <c r="AF15" s="3"/>
      <c r="AG15" s="1"/>
      <c r="AH15" s="1"/>
      <c r="AI15" s="1"/>
      <c r="AJ15" s="1"/>
      <c r="AK15" s="1"/>
      <c r="AL15" s="1"/>
      <c r="AM15" s="1"/>
      <c r="AN15" s="1"/>
    </row>
    <row r="16" spans="1:40" s="2" customFormat="1" ht="17.25" customHeight="1" x14ac:dyDescent="0.3">
      <c r="A16" s="28"/>
      <c r="B16" s="28"/>
      <c r="C16" s="28" t="s">
        <v>249</v>
      </c>
      <c r="D16" s="186">
        <f t="shared" si="0"/>
        <v>32000</v>
      </c>
      <c r="E16" s="156">
        <v>30000</v>
      </c>
      <c r="F16" s="82">
        <f t="shared" si="2"/>
        <v>2000</v>
      </c>
      <c r="G16" s="261">
        <v>30000</v>
      </c>
      <c r="H16" s="157">
        <f t="shared" si="1"/>
        <v>2000</v>
      </c>
      <c r="I16" s="158">
        <f t="shared" si="3"/>
        <v>1.0666666666666667</v>
      </c>
      <c r="J16" s="168"/>
      <c r="K16" s="147" t="s">
        <v>31</v>
      </c>
      <c r="L16" s="157"/>
      <c r="M16" s="157"/>
      <c r="N16" s="157"/>
      <c r="O16" s="157"/>
      <c r="P16" s="157"/>
      <c r="Q16" s="157" t="s">
        <v>31</v>
      </c>
      <c r="R16" s="157">
        <v>32000</v>
      </c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E16" s="3"/>
      <c r="AF16" s="3"/>
      <c r="AG16" s="1"/>
      <c r="AH16" s="1"/>
      <c r="AI16" s="1"/>
      <c r="AJ16" s="1"/>
      <c r="AK16" s="1"/>
      <c r="AL16" s="1"/>
      <c r="AM16" s="1"/>
      <c r="AN16" s="1"/>
    </row>
    <row r="17" spans="1:40" s="2" customFormat="1" ht="17.25" customHeight="1" x14ac:dyDescent="0.3">
      <c r="A17" s="28"/>
      <c r="B17" s="28"/>
      <c r="C17" s="28" t="s">
        <v>41</v>
      </c>
      <c r="D17" s="186">
        <f t="shared" si="0"/>
        <v>28000</v>
      </c>
      <c r="E17" s="156">
        <v>0</v>
      </c>
      <c r="F17" s="82">
        <f t="shared" si="2"/>
        <v>28000</v>
      </c>
      <c r="G17" s="261">
        <v>27000</v>
      </c>
      <c r="H17" s="157">
        <f t="shared" si="1"/>
        <v>1000</v>
      </c>
      <c r="I17" s="158">
        <f t="shared" si="3"/>
        <v>1.037037037037037</v>
      </c>
      <c r="J17" s="168"/>
      <c r="K17" s="147"/>
      <c r="L17" s="157"/>
      <c r="M17" s="157"/>
      <c r="N17" s="157"/>
      <c r="O17" s="157"/>
      <c r="P17" s="157"/>
      <c r="Q17" s="157" t="s">
        <v>31</v>
      </c>
      <c r="R17" s="157">
        <v>28000</v>
      </c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E17" s="3"/>
      <c r="AF17" s="3"/>
      <c r="AG17" s="1"/>
      <c r="AH17" s="1"/>
      <c r="AI17" s="1"/>
      <c r="AJ17" s="1"/>
      <c r="AK17" s="1"/>
      <c r="AL17" s="1"/>
      <c r="AM17" s="1"/>
      <c r="AN17" s="1"/>
    </row>
    <row r="18" spans="1:40" s="2" customFormat="1" ht="17.25" customHeight="1" x14ac:dyDescent="0.3">
      <c r="A18" s="28"/>
      <c r="B18" s="28"/>
      <c r="C18" s="28" t="s">
        <v>164</v>
      </c>
      <c r="D18" s="186">
        <f t="shared" si="0"/>
        <v>24000</v>
      </c>
      <c r="E18" s="156">
        <v>15000</v>
      </c>
      <c r="F18" s="82">
        <f t="shared" si="2"/>
        <v>9000</v>
      </c>
      <c r="G18" s="261">
        <v>16000</v>
      </c>
      <c r="H18" s="157">
        <f t="shared" si="1"/>
        <v>8000</v>
      </c>
      <c r="I18" s="158">
        <f t="shared" si="3"/>
        <v>1.5</v>
      </c>
      <c r="J18" s="168"/>
      <c r="K18" s="147"/>
      <c r="L18" s="157"/>
      <c r="M18" s="157"/>
      <c r="N18" s="157"/>
      <c r="O18" s="157"/>
      <c r="P18" s="157"/>
      <c r="Q18" s="157">
        <f>8000+16000</f>
        <v>24000</v>
      </c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E18" s="3"/>
      <c r="AF18" s="3"/>
      <c r="AG18" s="1"/>
      <c r="AH18" s="1"/>
      <c r="AI18" s="1"/>
      <c r="AJ18" s="1"/>
      <c r="AK18" s="1"/>
      <c r="AL18" s="1"/>
      <c r="AM18" s="1"/>
      <c r="AN18" s="1"/>
    </row>
    <row r="19" spans="1:40" s="2" customFormat="1" ht="17.25" customHeight="1" x14ac:dyDescent="0.3">
      <c r="A19" s="28"/>
      <c r="B19" s="28"/>
      <c r="C19" s="28" t="s">
        <v>39</v>
      </c>
      <c r="D19" s="186">
        <f t="shared" si="0"/>
        <v>10000</v>
      </c>
      <c r="E19" s="156">
        <v>10000</v>
      </c>
      <c r="F19" s="82">
        <f t="shared" si="2"/>
        <v>0</v>
      </c>
      <c r="G19" s="261">
        <v>10000</v>
      </c>
      <c r="H19" s="157">
        <f t="shared" si="1"/>
        <v>0</v>
      </c>
      <c r="I19" s="158">
        <f t="shared" si="3"/>
        <v>1</v>
      </c>
      <c r="J19" s="168"/>
      <c r="K19" s="147"/>
      <c r="L19" s="157"/>
      <c r="M19" s="157"/>
      <c r="N19" s="157"/>
      <c r="O19" s="157"/>
      <c r="P19" s="157"/>
      <c r="Q19" s="157">
        <v>10000</v>
      </c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E19" s="3"/>
      <c r="AF19" s="3"/>
      <c r="AG19" s="1"/>
      <c r="AH19" s="1"/>
      <c r="AI19" s="1"/>
      <c r="AJ19" s="1"/>
      <c r="AK19" s="1"/>
      <c r="AL19" s="1"/>
      <c r="AM19" s="1"/>
      <c r="AN19" s="1"/>
    </row>
    <row r="20" spans="1:40" s="2" customFormat="1" ht="17.25" hidden="1" customHeight="1" x14ac:dyDescent="0.3">
      <c r="A20" s="28"/>
      <c r="B20" s="28"/>
      <c r="C20" s="28" t="s">
        <v>40</v>
      </c>
      <c r="D20" s="186">
        <f t="shared" si="0"/>
        <v>0</v>
      </c>
      <c r="E20" s="156"/>
      <c r="F20" s="156"/>
      <c r="G20" s="261">
        <v>0</v>
      </c>
      <c r="H20" s="157">
        <f t="shared" si="1"/>
        <v>0</v>
      </c>
      <c r="I20" s="158" t="e">
        <f t="shared" ref="I20" si="4">+D20/G20</f>
        <v>#DIV/0!</v>
      </c>
      <c r="J20" s="168"/>
      <c r="K20" s="14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E20" s="3"/>
      <c r="AF20" s="3"/>
      <c r="AG20" s="1"/>
      <c r="AH20" s="1"/>
      <c r="AI20" s="1"/>
      <c r="AJ20" s="1"/>
      <c r="AK20" s="1"/>
      <c r="AL20" s="1"/>
      <c r="AM20" s="1"/>
      <c r="AN20" s="1"/>
    </row>
    <row r="21" spans="1:40" s="2" customFormat="1" ht="15.75" customHeight="1" x14ac:dyDescent="0.3">
      <c r="A21" s="28"/>
      <c r="B21" s="28" t="s">
        <v>42</v>
      </c>
      <c r="C21" s="28"/>
      <c r="D21" s="186" t="s">
        <v>31</v>
      </c>
      <c r="E21" s="156"/>
      <c r="F21" s="156"/>
      <c r="G21" s="261"/>
      <c r="H21" s="156"/>
      <c r="I21" s="159"/>
      <c r="J21" s="168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E21" s="3"/>
      <c r="AF21" s="3"/>
      <c r="AG21" s="1"/>
      <c r="AH21" s="1"/>
      <c r="AI21" s="1"/>
      <c r="AJ21" s="1"/>
      <c r="AK21" s="1"/>
      <c r="AL21" s="1"/>
      <c r="AM21" s="1"/>
      <c r="AN21" s="1"/>
    </row>
    <row r="22" spans="1:40" s="2" customFormat="1" ht="15.75" customHeight="1" x14ac:dyDescent="0.3">
      <c r="A22" s="28"/>
      <c r="B22" s="28"/>
      <c r="C22" s="28" t="s">
        <v>44</v>
      </c>
      <c r="D22" s="186" t="s">
        <v>31</v>
      </c>
      <c r="E22" s="156"/>
      <c r="F22" s="156"/>
      <c r="G22" s="261"/>
      <c r="H22" s="156"/>
      <c r="I22" s="159"/>
      <c r="J22" s="168"/>
      <c r="K22" s="157"/>
      <c r="L22" s="157"/>
      <c r="M22" s="157"/>
      <c r="N22" s="157"/>
      <c r="O22" s="157" t="s">
        <v>31</v>
      </c>
      <c r="P22" s="157"/>
      <c r="Q22" s="157"/>
      <c r="R22" s="157"/>
      <c r="S22" s="157"/>
      <c r="T22" s="157">
        <v>0</v>
      </c>
      <c r="U22" s="157">
        <v>0</v>
      </c>
      <c r="V22" s="157"/>
      <c r="W22" s="157"/>
      <c r="X22" s="157"/>
      <c r="Y22" s="157"/>
      <c r="Z22" s="157"/>
      <c r="AA22" s="157"/>
      <c r="AB22" s="157"/>
      <c r="AC22" s="157"/>
      <c r="AE22" s="3"/>
      <c r="AF22" s="3"/>
      <c r="AG22" s="1"/>
      <c r="AH22" s="1"/>
      <c r="AI22" s="1"/>
      <c r="AJ22" s="1"/>
      <c r="AK22" s="1"/>
      <c r="AL22" s="1"/>
      <c r="AM22" s="1"/>
      <c r="AN22" s="1"/>
    </row>
    <row r="23" spans="1:40" s="2" customFormat="1" ht="15.75" customHeight="1" x14ac:dyDescent="0.3">
      <c r="A23" s="28"/>
      <c r="B23" s="28"/>
      <c r="C23" s="42" t="s">
        <v>191</v>
      </c>
      <c r="D23" s="186">
        <f t="shared" ref="D23:D37" si="5">SUM(J23:AC23)</f>
        <v>110200</v>
      </c>
      <c r="E23" s="156">
        <v>99575</v>
      </c>
      <c r="F23" s="82">
        <f t="shared" ref="F23:F55" si="6">D23-E23</f>
        <v>10625</v>
      </c>
      <c r="G23" s="261">
        <v>120000</v>
      </c>
      <c r="H23" s="157">
        <f t="shared" ref="H23:H37" si="7">+D23-G23</f>
        <v>-9800</v>
      </c>
      <c r="I23" s="158">
        <f t="shared" ref="I23:I37" si="8">+D23/G23</f>
        <v>0.91833333333333333</v>
      </c>
      <c r="J23" s="168"/>
      <c r="K23" s="157"/>
      <c r="L23" s="157"/>
      <c r="M23" s="157"/>
      <c r="N23" s="157"/>
      <c r="O23" s="157"/>
      <c r="P23" s="157"/>
      <c r="Q23" s="157"/>
      <c r="R23" s="157"/>
      <c r="S23" s="157"/>
      <c r="T23" s="157">
        <v>110200</v>
      </c>
      <c r="U23" s="157"/>
      <c r="V23" s="157"/>
      <c r="W23" s="157"/>
      <c r="X23" s="157"/>
      <c r="Y23" s="157"/>
      <c r="Z23" s="157"/>
      <c r="AA23" s="157"/>
      <c r="AB23" s="157"/>
      <c r="AC23" s="157"/>
      <c r="AE23" s="3"/>
      <c r="AF23" s="3"/>
      <c r="AG23" s="1"/>
      <c r="AH23" s="1"/>
      <c r="AI23" s="1"/>
      <c r="AJ23" s="1"/>
      <c r="AK23" s="1"/>
      <c r="AL23" s="1"/>
      <c r="AM23" s="1"/>
      <c r="AN23" s="1"/>
    </row>
    <row r="24" spans="1:40" s="2" customFormat="1" ht="15.75" customHeight="1" x14ac:dyDescent="0.3">
      <c r="A24" s="28"/>
      <c r="B24" s="28"/>
      <c r="C24" s="42" t="s">
        <v>192</v>
      </c>
      <c r="D24" s="186">
        <f t="shared" si="5"/>
        <v>47250</v>
      </c>
      <c r="E24" s="156">
        <v>40610</v>
      </c>
      <c r="F24" s="82">
        <f t="shared" si="6"/>
        <v>6640</v>
      </c>
      <c r="G24" s="261">
        <v>40000</v>
      </c>
      <c r="H24" s="157">
        <f t="shared" si="7"/>
        <v>7250</v>
      </c>
      <c r="I24" s="158">
        <f t="shared" si="8"/>
        <v>1.1812499999999999</v>
      </c>
      <c r="J24" s="168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>
        <v>47250</v>
      </c>
      <c r="V24" s="157"/>
      <c r="W24" s="157"/>
      <c r="X24" s="157"/>
      <c r="Y24" s="157"/>
      <c r="Z24" s="157"/>
      <c r="AA24" s="157"/>
      <c r="AB24" s="157"/>
      <c r="AC24" s="157"/>
      <c r="AE24" s="3"/>
      <c r="AF24" s="3"/>
      <c r="AG24" s="1"/>
      <c r="AH24" s="1"/>
      <c r="AI24" s="1"/>
      <c r="AJ24" s="1"/>
      <c r="AK24" s="1"/>
      <c r="AL24" s="1"/>
      <c r="AM24" s="1"/>
      <c r="AN24" s="1"/>
    </row>
    <row r="25" spans="1:40" s="2" customFormat="1" ht="15.75" customHeight="1" x14ac:dyDescent="0.3">
      <c r="A25" s="28"/>
      <c r="B25" s="28"/>
      <c r="C25" s="42" t="s">
        <v>194</v>
      </c>
      <c r="D25" s="186">
        <f t="shared" si="5"/>
        <v>9350</v>
      </c>
      <c r="E25" s="156">
        <v>0</v>
      </c>
      <c r="F25" s="82">
        <f t="shared" si="6"/>
        <v>9350</v>
      </c>
      <c r="G25" s="261">
        <v>38000</v>
      </c>
      <c r="H25" s="157">
        <f t="shared" si="7"/>
        <v>-28650</v>
      </c>
      <c r="I25" s="158">
        <f t="shared" si="8"/>
        <v>0.24605263157894736</v>
      </c>
      <c r="J25" s="168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>
        <v>9350</v>
      </c>
      <c r="X25" s="157"/>
      <c r="Y25" s="157"/>
      <c r="Z25" s="157"/>
      <c r="AA25" s="157"/>
      <c r="AB25" s="157"/>
      <c r="AC25" s="157"/>
      <c r="AE25" s="3"/>
      <c r="AF25" s="3"/>
      <c r="AG25" s="1"/>
      <c r="AH25" s="1"/>
      <c r="AI25" s="1"/>
      <c r="AJ25" s="1"/>
      <c r="AK25" s="1"/>
      <c r="AL25" s="1"/>
      <c r="AM25" s="1"/>
      <c r="AN25" s="1"/>
    </row>
    <row r="26" spans="1:40" s="2" customFormat="1" ht="15.75" customHeight="1" x14ac:dyDescent="0.3">
      <c r="A26" s="28"/>
      <c r="B26" s="28"/>
      <c r="C26" s="42" t="s">
        <v>166</v>
      </c>
      <c r="D26" s="186">
        <f t="shared" si="5"/>
        <v>6600</v>
      </c>
      <c r="E26" s="156">
        <v>0</v>
      </c>
      <c r="F26" s="82">
        <f t="shared" si="6"/>
        <v>6600</v>
      </c>
      <c r="G26" s="261">
        <v>0</v>
      </c>
      <c r="H26" s="157">
        <f t="shared" si="7"/>
        <v>6600</v>
      </c>
      <c r="I26" s="158" t="s">
        <v>129</v>
      </c>
      <c r="J26" s="168"/>
      <c r="K26" s="157"/>
      <c r="L26" s="157"/>
      <c r="M26" s="157">
        <v>6600</v>
      </c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E26" s="3"/>
      <c r="AF26" s="3"/>
      <c r="AG26" s="1"/>
      <c r="AH26" s="1"/>
      <c r="AI26" s="1"/>
      <c r="AJ26" s="1"/>
      <c r="AK26" s="1"/>
      <c r="AL26" s="1"/>
      <c r="AM26" s="1"/>
      <c r="AN26" s="1"/>
    </row>
    <row r="27" spans="1:40" s="2" customFormat="1" ht="15.75" hidden="1" customHeight="1" x14ac:dyDescent="0.3">
      <c r="A27" s="28"/>
      <c r="B27" s="28"/>
      <c r="C27" s="42" t="s">
        <v>193</v>
      </c>
      <c r="D27" s="186">
        <f t="shared" si="5"/>
        <v>0</v>
      </c>
      <c r="E27" s="156"/>
      <c r="F27" s="82">
        <f t="shared" si="6"/>
        <v>0</v>
      </c>
      <c r="G27" s="261">
        <v>0</v>
      </c>
      <c r="H27" s="157">
        <f t="shared" si="7"/>
        <v>0</v>
      </c>
      <c r="I27" s="158" t="e">
        <f t="shared" si="8"/>
        <v>#DIV/0!</v>
      </c>
      <c r="J27" s="168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E27" s="3"/>
      <c r="AF27" s="3"/>
      <c r="AG27" s="1"/>
      <c r="AH27" s="1"/>
      <c r="AI27" s="1"/>
      <c r="AJ27" s="1"/>
      <c r="AK27" s="1"/>
      <c r="AL27" s="1"/>
      <c r="AM27" s="1"/>
      <c r="AN27" s="1"/>
    </row>
    <row r="28" spans="1:40" s="2" customFormat="1" ht="15.75" hidden="1" customHeight="1" x14ac:dyDescent="0.3">
      <c r="A28" s="28"/>
      <c r="B28" s="28"/>
      <c r="C28" s="42" t="s">
        <v>167</v>
      </c>
      <c r="D28" s="186">
        <f t="shared" si="5"/>
        <v>0</v>
      </c>
      <c r="E28" s="156"/>
      <c r="F28" s="82">
        <f t="shared" si="6"/>
        <v>0</v>
      </c>
      <c r="G28" s="261">
        <v>0</v>
      </c>
      <c r="H28" s="157">
        <f t="shared" si="7"/>
        <v>0</v>
      </c>
      <c r="I28" s="158" t="e">
        <f t="shared" si="8"/>
        <v>#DIV/0!</v>
      </c>
      <c r="J28" s="168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E28" s="3"/>
      <c r="AF28" s="3"/>
      <c r="AG28" s="1"/>
      <c r="AH28" s="1"/>
      <c r="AI28" s="1"/>
      <c r="AJ28" s="1"/>
      <c r="AK28" s="1"/>
      <c r="AL28" s="1"/>
      <c r="AM28" s="1"/>
      <c r="AN28" s="1"/>
    </row>
    <row r="29" spans="1:40" s="2" customFormat="1" ht="15.75" customHeight="1" x14ac:dyDescent="0.3">
      <c r="A29" s="28"/>
      <c r="B29" s="28"/>
      <c r="C29" s="42" t="s">
        <v>197</v>
      </c>
      <c r="D29" s="186">
        <f t="shared" si="5"/>
        <v>2800</v>
      </c>
      <c r="E29" s="156">
        <v>0</v>
      </c>
      <c r="F29" s="82">
        <f t="shared" si="6"/>
        <v>2800</v>
      </c>
      <c r="G29" s="261">
        <v>0</v>
      </c>
      <c r="H29" s="157">
        <f t="shared" si="7"/>
        <v>2800</v>
      </c>
      <c r="I29" s="158" t="s">
        <v>129</v>
      </c>
      <c r="J29" s="168"/>
      <c r="K29" s="157"/>
      <c r="L29" s="157"/>
      <c r="M29" s="157"/>
      <c r="N29" s="157"/>
      <c r="O29" s="157">
        <v>2800</v>
      </c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E29" s="3"/>
      <c r="AF29" s="3"/>
      <c r="AG29" s="1"/>
      <c r="AH29" s="1"/>
      <c r="AI29" s="1"/>
      <c r="AJ29" s="1"/>
      <c r="AK29" s="1"/>
      <c r="AL29" s="1"/>
      <c r="AM29" s="1"/>
      <c r="AN29" s="1"/>
    </row>
    <row r="30" spans="1:40" s="2" customFormat="1" ht="15.75" hidden="1" customHeight="1" x14ac:dyDescent="0.3">
      <c r="A30" s="28"/>
      <c r="B30" s="28"/>
      <c r="C30" s="42" t="s">
        <v>196</v>
      </c>
      <c r="D30" s="186">
        <f t="shared" si="5"/>
        <v>0</v>
      </c>
      <c r="E30" s="156"/>
      <c r="F30" s="82">
        <f t="shared" si="6"/>
        <v>0</v>
      </c>
      <c r="G30" s="261">
        <v>0</v>
      </c>
      <c r="H30" s="157">
        <f t="shared" si="7"/>
        <v>0</v>
      </c>
      <c r="I30" s="158" t="e">
        <f t="shared" si="8"/>
        <v>#DIV/0!</v>
      </c>
      <c r="J30" s="168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E30" s="3"/>
      <c r="AF30" s="3"/>
      <c r="AG30" s="1"/>
      <c r="AH30" s="1"/>
      <c r="AI30" s="1"/>
      <c r="AJ30" s="1"/>
      <c r="AK30" s="1"/>
      <c r="AL30" s="1"/>
      <c r="AM30" s="1"/>
      <c r="AN30" s="1"/>
    </row>
    <row r="31" spans="1:40" s="2" customFormat="1" ht="15.75" customHeight="1" x14ac:dyDescent="0.3">
      <c r="A31" s="28"/>
      <c r="B31" s="28"/>
      <c r="C31" s="42" t="s">
        <v>195</v>
      </c>
      <c r="D31" s="186">
        <f t="shared" si="5"/>
        <v>1600</v>
      </c>
      <c r="E31" s="156">
        <v>6375</v>
      </c>
      <c r="F31" s="82">
        <f t="shared" si="6"/>
        <v>-4775</v>
      </c>
      <c r="G31" s="261">
        <v>8000</v>
      </c>
      <c r="H31" s="157">
        <f t="shared" si="7"/>
        <v>-6400</v>
      </c>
      <c r="I31" s="158">
        <f t="shared" si="8"/>
        <v>0.2</v>
      </c>
      <c r="J31" s="168"/>
      <c r="K31" s="157"/>
      <c r="L31" s="157"/>
      <c r="M31" s="157"/>
      <c r="N31" s="157"/>
      <c r="O31" s="157">
        <v>1600</v>
      </c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E31" s="3"/>
      <c r="AF31" s="3"/>
      <c r="AG31" s="1"/>
      <c r="AH31" s="1"/>
      <c r="AI31" s="1"/>
      <c r="AJ31" s="1"/>
      <c r="AK31" s="1"/>
      <c r="AL31" s="1"/>
      <c r="AM31" s="1"/>
      <c r="AN31" s="1"/>
    </row>
    <row r="32" spans="1:40" s="2" customFormat="1" ht="15.75" customHeight="1" x14ac:dyDescent="0.3">
      <c r="A32" s="28"/>
      <c r="B32" s="28"/>
      <c r="C32" s="42" t="s">
        <v>45</v>
      </c>
      <c r="D32" s="186">
        <f t="shared" si="5"/>
        <v>735</v>
      </c>
      <c r="E32" s="156">
        <v>580</v>
      </c>
      <c r="F32" s="82">
        <f t="shared" si="6"/>
        <v>155</v>
      </c>
      <c r="G32" s="261">
        <v>1500</v>
      </c>
      <c r="H32" s="157">
        <f t="shared" si="7"/>
        <v>-765</v>
      </c>
      <c r="I32" s="158">
        <f t="shared" si="8"/>
        <v>0.49</v>
      </c>
      <c r="J32" s="168"/>
      <c r="K32" s="157"/>
      <c r="L32" s="157">
        <v>735</v>
      </c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E32" s="3"/>
      <c r="AF32" s="3"/>
      <c r="AG32" s="1"/>
      <c r="AH32" s="1"/>
      <c r="AI32" s="1"/>
      <c r="AJ32" s="1"/>
      <c r="AK32" s="1"/>
      <c r="AL32" s="1"/>
      <c r="AM32" s="1"/>
      <c r="AN32" s="1"/>
    </row>
    <row r="33" spans="1:40" s="2" customFormat="1" ht="15.75" hidden="1" customHeight="1" x14ac:dyDescent="0.3">
      <c r="A33" s="28"/>
      <c r="B33" s="28"/>
      <c r="C33" s="42" t="s">
        <v>165</v>
      </c>
      <c r="D33" s="186">
        <f t="shared" si="5"/>
        <v>0</v>
      </c>
      <c r="E33" s="156"/>
      <c r="F33" s="82">
        <f t="shared" si="6"/>
        <v>0</v>
      </c>
      <c r="G33" s="261"/>
      <c r="H33" s="157">
        <f t="shared" si="7"/>
        <v>0</v>
      </c>
      <c r="I33" s="158" t="e">
        <f t="shared" si="8"/>
        <v>#DIV/0!</v>
      </c>
      <c r="J33" s="168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E33" s="3"/>
      <c r="AF33" s="3"/>
      <c r="AG33" s="1"/>
      <c r="AH33" s="1"/>
      <c r="AI33" s="1"/>
      <c r="AJ33" s="1"/>
      <c r="AK33" s="1"/>
      <c r="AL33" s="1"/>
      <c r="AM33" s="1"/>
      <c r="AN33" s="1"/>
    </row>
    <row r="34" spans="1:40" s="2" customFormat="1" ht="15.75" customHeight="1" x14ac:dyDescent="0.3">
      <c r="A34" s="28"/>
      <c r="B34" s="28"/>
      <c r="C34" s="42" t="s">
        <v>142</v>
      </c>
      <c r="D34" s="186">
        <f t="shared" si="5"/>
        <v>135</v>
      </c>
      <c r="E34" s="156">
        <v>0</v>
      </c>
      <c r="F34" s="82">
        <f t="shared" si="6"/>
        <v>135</v>
      </c>
      <c r="G34" s="261">
        <v>4000</v>
      </c>
      <c r="H34" s="157">
        <f t="shared" si="7"/>
        <v>-3865</v>
      </c>
      <c r="I34" s="158">
        <f t="shared" si="8"/>
        <v>3.3750000000000002E-2</v>
      </c>
      <c r="J34" s="168"/>
      <c r="K34" s="157"/>
      <c r="L34" s="157"/>
      <c r="M34" s="157"/>
      <c r="N34" s="157"/>
      <c r="O34" s="157">
        <v>135</v>
      </c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E34" s="3"/>
      <c r="AF34" s="3"/>
      <c r="AG34" s="1"/>
      <c r="AH34" s="1"/>
      <c r="AI34" s="1"/>
      <c r="AJ34" s="1"/>
      <c r="AK34" s="1"/>
      <c r="AL34" s="1"/>
      <c r="AM34" s="1"/>
      <c r="AN34" s="1"/>
    </row>
    <row r="35" spans="1:40" s="2" customFormat="1" ht="15.75" customHeight="1" x14ac:dyDescent="0.3">
      <c r="A35" s="28"/>
      <c r="B35" s="28"/>
      <c r="C35" s="42" t="s">
        <v>155</v>
      </c>
      <c r="D35" s="186">
        <f t="shared" si="5"/>
        <v>125</v>
      </c>
      <c r="E35" s="156">
        <v>0</v>
      </c>
      <c r="F35" s="82">
        <f t="shared" si="6"/>
        <v>125</v>
      </c>
      <c r="G35" s="261">
        <v>0</v>
      </c>
      <c r="H35" s="157">
        <f t="shared" si="7"/>
        <v>125</v>
      </c>
      <c r="I35" s="158" t="s">
        <v>129</v>
      </c>
      <c r="J35" s="168"/>
      <c r="K35" s="157"/>
      <c r="L35" s="157"/>
      <c r="M35" s="157"/>
      <c r="N35" s="157"/>
      <c r="O35" s="157"/>
      <c r="P35" s="157">
        <v>125</v>
      </c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E35" s="3"/>
      <c r="AF35" s="3"/>
      <c r="AG35" s="1"/>
      <c r="AH35" s="1"/>
      <c r="AI35" s="1"/>
      <c r="AJ35" s="1"/>
      <c r="AK35" s="1"/>
      <c r="AL35" s="1"/>
      <c r="AM35" s="1"/>
      <c r="AN35" s="1"/>
    </row>
    <row r="36" spans="1:40" s="2" customFormat="1" ht="15.75" hidden="1" customHeight="1" x14ac:dyDescent="0.3">
      <c r="A36" s="28"/>
      <c r="B36" s="28"/>
      <c r="C36" s="28" t="s">
        <v>168</v>
      </c>
      <c r="D36" s="186">
        <f t="shared" si="5"/>
        <v>0</v>
      </c>
      <c r="E36" s="156"/>
      <c r="F36" s="82">
        <f t="shared" si="6"/>
        <v>0</v>
      </c>
      <c r="G36" s="261">
        <v>0</v>
      </c>
      <c r="H36" s="157">
        <f t="shared" si="7"/>
        <v>0</v>
      </c>
      <c r="I36" s="158" t="e">
        <f t="shared" si="8"/>
        <v>#DIV/0!</v>
      </c>
      <c r="J36" s="168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E36" s="3"/>
      <c r="AF36" s="3"/>
      <c r="AG36" s="1"/>
      <c r="AH36" s="1"/>
      <c r="AI36" s="1"/>
      <c r="AJ36" s="1"/>
      <c r="AK36" s="1"/>
      <c r="AL36" s="1"/>
      <c r="AM36" s="1"/>
      <c r="AN36" s="1"/>
    </row>
    <row r="37" spans="1:40" s="2" customFormat="1" ht="15.75" customHeight="1" x14ac:dyDescent="0.3">
      <c r="A37" s="28"/>
      <c r="B37" s="28"/>
      <c r="C37" s="28" t="s">
        <v>46</v>
      </c>
      <c r="D37" s="186">
        <f t="shared" si="5"/>
        <v>10590</v>
      </c>
      <c r="E37" s="156">
        <v>16857</v>
      </c>
      <c r="F37" s="82">
        <f t="shared" si="6"/>
        <v>-6267</v>
      </c>
      <c r="G37" s="261">
        <v>17350</v>
      </c>
      <c r="H37" s="157">
        <f t="shared" si="7"/>
        <v>-6760</v>
      </c>
      <c r="I37" s="158">
        <f t="shared" si="8"/>
        <v>0.6103746397694525</v>
      </c>
      <c r="J37" s="168"/>
      <c r="K37" s="157"/>
      <c r="L37" s="157"/>
      <c r="M37" s="157"/>
      <c r="N37" s="157"/>
      <c r="O37" s="157">
        <v>10590</v>
      </c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E37" s="3"/>
      <c r="AF37" s="3"/>
      <c r="AG37" s="1"/>
      <c r="AH37" s="1"/>
      <c r="AI37" s="1"/>
      <c r="AJ37" s="1"/>
      <c r="AK37" s="1"/>
      <c r="AL37" s="1"/>
      <c r="AM37" s="1"/>
      <c r="AN37" s="1"/>
    </row>
    <row r="38" spans="1:40" s="2" customFormat="1" x14ac:dyDescent="0.3">
      <c r="A38" s="28"/>
      <c r="B38" s="28" t="s">
        <v>47</v>
      </c>
      <c r="C38" s="28"/>
      <c r="D38" s="186" t="s">
        <v>31</v>
      </c>
      <c r="E38" s="156"/>
      <c r="F38" s="156"/>
      <c r="G38" s="261"/>
      <c r="H38" s="156"/>
      <c r="I38" s="159"/>
      <c r="J38" s="168" t="s">
        <v>31</v>
      </c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E38" s="3"/>
      <c r="AF38" s="3"/>
      <c r="AG38" s="1"/>
      <c r="AH38" s="1"/>
      <c r="AI38" s="1"/>
      <c r="AJ38" s="1"/>
      <c r="AK38" s="1"/>
      <c r="AL38" s="1"/>
      <c r="AM38" s="1"/>
      <c r="AN38" s="1"/>
    </row>
    <row r="39" spans="1:40" s="2" customFormat="1" x14ac:dyDescent="0.3">
      <c r="A39" s="28"/>
      <c r="B39" s="28"/>
      <c r="C39" s="28" t="s">
        <v>119</v>
      </c>
      <c r="D39" s="186">
        <f>SUM(J39:AC39)</f>
        <v>10880.7</v>
      </c>
      <c r="E39" s="156">
        <v>-6953</v>
      </c>
      <c r="F39" s="82">
        <f t="shared" si="6"/>
        <v>17833.7</v>
      </c>
      <c r="G39" s="261">
        <f>6000+6000</f>
        <v>12000</v>
      </c>
      <c r="H39" s="157">
        <f t="shared" ref="H39:H43" si="9">+D39-G39</f>
        <v>-1119.2999999999993</v>
      </c>
      <c r="I39" s="158">
        <f t="shared" ref="I39:I43" si="10">+D39/G39</f>
        <v>0.90672500000000011</v>
      </c>
      <c r="J39" s="168">
        <v>10880.7</v>
      </c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E39" s="3"/>
      <c r="AF39" s="3"/>
      <c r="AG39" s="1"/>
      <c r="AH39" s="1"/>
      <c r="AI39" s="1"/>
      <c r="AJ39" s="1"/>
      <c r="AK39" s="1"/>
      <c r="AL39" s="1"/>
      <c r="AM39" s="1"/>
      <c r="AN39" s="1"/>
    </row>
    <row r="40" spans="1:40" s="2" customFormat="1" hidden="1" x14ac:dyDescent="0.3">
      <c r="A40" s="28"/>
      <c r="B40" s="28"/>
      <c r="C40" s="28" t="s">
        <v>48</v>
      </c>
      <c r="D40" s="186">
        <f>SUM(J40:AC40)</f>
        <v>0</v>
      </c>
      <c r="E40" s="156"/>
      <c r="F40" s="82">
        <f t="shared" si="6"/>
        <v>0</v>
      </c>
      <c r="G40" s="261">
        <v>0</v>
      </c>
      <c r="H40" s="157">
        <f t="shared" si="9"/>
        <v>0</v>
      </c>
      <c r="I40" s="158" t="e">
        <f t="shared" si="10"/>
        <v>#DIV/0!</v>
      </c>
      <c r="J40" s="168">
        <v>0</v>
      </c>
      <c r="K40" s="157"/>
      <c r="L40" s="157"/>
      <c r="M40" s="157"/>
      <c r="N40" s="157">
        <v>0</v>
      </c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E40" s="3"/>
      <c r="AF40" s="3"/>
      <c r="AG40" s="1"/>
      <c r="AH40" s="1"/>
      <c r="AI40" s="1"/>
      <c r="AJ40" s="1"/>
      <c r="AK40" s="1"/>
      <c r="AL40" s="1"/>
      <c r="AM40" s="1"/>
      <c r="AN40" s="1"/>
    </row>
    <row r="41" spans="1:40" s="2" customFormat="1" x14ac:dyDescent="0.3">
      <c r="A41" s="28"/>
      <c r="B41" s="28"/>
      <c r="C41" s="28" t="s">
        <v>247</v>
      </c>
      <c r="D41" s="186">
        <f>SUM(J41:AC41)</f>
        <v>4585.8999999999996</v>
      </c>
      <c r="E41" s="156">
        <f>-395+619</f>
        <v>224</v>
      </c>
      <c r="F41" s="82">
        <f t="shared" si="6"/>
        <v>4361.8999999999996</v>
      </c>
      <c r="G41" s="261">
        <f>20000-6000</f>
        <v>14000</v>
      </c>
      <c r="H41" s="157">
        <f t="shared" si="9"/>
        <v>-9414.1</v>
      </c>
      <c r="I41" s="158">
        <f t="shared" si="10"/>
        <v>0.3275642857142857</v>
      </c>
      <c r="J41" s="168">
        <v>4585.8999999999996</v>
      </c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E41" s="3"/>
      <c r="AF41" s="3"/>
      <c r="AG41" s="1"/>
      <c r="AH41" s="1"/>
      <c r="AI41" s="1"/>
      <c r="AJ41" s="1"/>
      <c r="AK41" s="1"/>
      <c r="AL41" s="1"/>
      <c r="AM41" s="1"/>
      <c r="AN41" s="1"/>
    </row>
    <row r="42" spans="1:40" s="2" customFormat="1" x14ac:dyDescent="0.3">
      <c r="A42" s="28"/>
      <c r="B42" s="28"/>
      <c r="C42" s="28" t="s">
        <v>118</v>
      </c>
      <c r="D42" s="186">
        <f>SUM(J42:AC42)</f>
        <v>2324.21</v>
      </c>
      <c r="E42" s="156">
        <v>4401</v>
      </c>
      <c r="F42" s="82">
        <f t="shared" si="6"/>
        <v>-2076.79</v>
      </c>
      <c r="G42" s="261">
        <v>5000</v>
      </c>
      <c r="H42" s="157">
        <f t="shared" si="9"/>
        <v>-2675.79</v>
      </c>
      <c r="I42" s="158">
        <f t="shared" si="10"/>
        <v>0.46484200000000003</v>
      </c>
      <c r="J42" s="168">
        <v>2324.21</v>
      </c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E42" s="3"/>
      <c r="AF42" s="3"/>
      <c r="AG42" s="1"/>
      <c r="AH42" s="1"/>
      <c r="AI42" s="1"/>
      <c r="AJ42" s="1"/>
      <c r="AK42" s="1"/>
      <c r="AL42" s="1"/>
      <c r="AM42" s="1"/>
      <c r="AN42" s="1"/>
    </row>
    <row r="43" spans="1:40" s="2" customFormat="1" x14ac:dyDescent="0.3">
      <c r="A43" s="28"/>
      <c r="B43" s="28" t="s">
        <v>50</v>
      </c>
      <c r="C43" s="28"/>
      <c r="D43" s="186">
        <f>SUM(J43:AC43)</f>
        <v>0</v>
      </c>
      <c r="E43" s="156">
        <v>535</v>
      </c>
      <c r="F43" s="82">
        <f t="shared" si="6"/>
        <v>-535</v>
      </c>
      <c r="G43" s="261">
        <v>18000</v>
      </c>
      <c r="H43" s="157">
        <f t="shared" si="9"/>
        <v>-18000</v>
      </c>
      <c r="I43" s="158">
        <f t="shared" si="10"/>
        <v>0</v>
      </c>
      <c r="J43" s="168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 t="s">
        <v>31</v>
      </c>
      <c r="Y43" s="157"/>
      <c r="Z43" s="157"/>
      <c r="AA43" s="157"/>
      <c r="AB43" s="157"/>
      <c r="AC43" s="157"/>
      <c r="AE43" s="3"/>
      <c r="AF43" s="3"/>
      <c r="AG43" s="1"/>
      <c r="AH43" s="1"/>
      <c r="AI43" s="1"/>
      <c r="AJ43" s="1"/>
      <c r="AK43" s="1"/>
      <c r="AL43" s="1"/>
      <c r="AM43" s="1"/>
      <c r="AN43" s="1"/>
    </row>
    <row r="44" spans="1:40" s="2" customFormat="1" x14ac:dyDescent="0.3">
      <c r="A44" s="28"/>
      <c r="B44" s="28" t="s">
        <v>51</v>
      </c>
      <c r="C44" s="28"/>
      <c r="D44" s="186" t="s">
        <v>31</v>
      </c>
      <c r="E44" s="156"/>
      <c r="F44" s="156"/>
      <c r="G44" s="261"/>
      <c r="H44" s="156"/>
      <c r="I44" s="159"/>
      <c r="J44" s="168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E44" s="3"/>
      <c r="AF44" s="3"/>
      <c r="AG44" s="1"/>
      <c r="AH44" s="1"/>
      <c r="AI44" s="1"/>
      <c r="AJ44" s="1"/>
      <c r="AK44" s="1"/>
      <c r="AL44" s="1"/>
      <c r="AM44" s="1"/>
      <c r="AN44" s="1"/>
    </row>
    <row r="45" spans="1:40" s="2" customFormat="1" x14ac:dyDescent="0.3">
      <c r="A45" s="28"/>
      <c r="B45" s="28"/>
      <c r="C45" s="28" t="s">
        <v>49</v>
      </c>
      <c r="D45" s="186">
        <f>SUM(J45:AC45)</f>
        <v>1508.81</v>
      </c>
      <c r="E45" s="156">
        <v>1043</v>
      </c>
      <c r="F45" s="82">
        <f t="shared" si="6"/>
        <v>465.80999999999995</v>
      </c>
      <c r="G45" s="261">
        <v>0</v>
      </c>
      <c r="H45" s="157">
        <f t="shared" ref="H45:H49" si="11">+D45-G45</f>
        <v>1508.81</v>
      </c>
      <c r="I45" s="158" t="s">
        <v>129</v>
      </c>
      <c r="J45" s="168">
        <v>1508.81</v>
      </c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E45" s="3"/>
      <c r="AF45" s="3"/>
      <c r="AG45" s="1"/>
      <c r="AH45" s="1"/>
      <c r="AI45" s="1"/>
      <c r="AJ45" s="1"/>
      <c r="AK45" s="1"/>
      <c r="AL45" s="1"/>
      <c r="AM45" s="1"/>
      <c r="AN45" s="1"/>
    </row>
    <row r="46" spans="1:40" s="2" customFormat="1" x14ac:dyDescent="0.3">
      <c r="A46" s="28"/>
      <c r="B46" s="28"/>
      <c r="C46" s="28" t="s">
        <v>52</v>
      </c>
      <c r="D46" s="186">
        <f>SUM(J46:AC46)</f>
        <v>665.81</v>
      </c>
      <c r="E46" s="156">
        <v>857</v>
      </c>
      <c r="F46" s="82">
        <f t="shared" si="6"/>
        <v>-191.19000000000005</v>
      </c>
      <c r="G46" s="261">
        <v>0</v>
      </c>
      <c r="H46" s="157">
        <f t="shared" si="11"/>
        <v>665.81</v>
      </c>
      <c r="I46" s="158" t="s">
        <v>129</v>
      </c>
      <c r="J46" s="168">
        <v>665.81</v>
      </c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E46" s="3"/>
      <c r="AF46" s="3"/>
      <c r="AG46" s="1"/>
      <c r="AH46" s="1"/>
      <c r="AI46" s="1"/>
      <c r="AJ46" s="1"/>
      <c r="AK46" s="1"/>
      <c r="AL46" s="1"/>
      <c r="AM46" s="1"/>
      <c r="AN46" s="1"/>
    </row>
    <row r="47" spans="1:40" s="2" customFormat="1" x14ac:dyDescent="0.3">
      <c r="A47" s="28"/>
      <c r="B47" s="28"/>
      <c r="C47" s="28" t="s">
        <v>53</v>
      </c>
      <c r="D47" s="186">
        <f>SUM(J47:AC47)</f>
        <v>415.31</v>
      </c>
      <c r="E47" s="156">
        <v>0</v>
      </c>
      <c r="F47" s="82">
        <f t="shared" si="6"/>
        <v>415.31</v>
      </c>
      <c r="G47" s="261">
        <v>11500</v>
      </c>
      <c r="H47" s="157">
        <f t="shared" si="11"/>
        <v>-11084.69</v>
      </c>
      <c r="I47" s="158">
        <f t="shared" ref="I47:I54" si="12">+D47/G47</f>
        <v>3.611391304347826E-2</v>
      </c>
      <c r="J47" s="168">
        <v>0</v>
      </c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>
        <v>415.31</v>
      </c>
      <c r="Y47" s="157"/>
      <c r="Z47" s="157"/>
      <c r="AA47" s="157"/>
      <c r="AB47" s="157"/>
      <c r="AC47" s="157"/>
      <c r="AE47" s="3"/>
      <c r="AF47" s="3"/>
      <c r="AG47" s="1"/>
      <c r="AH47" s="1"/>
      <c r="AI47" s="1"/>
      <c r="AJ47" s="1"/>
      <c r="AK47" s="1"/>
      <c r="AL47" s="1"/>
      <c r="AM47" s="1"/>
      <c r="AN47" s="1"/>
    </row>
    <row r="48" spans="1:40" s="2" customFormat="1" x14ac:dyDescent="0.3">
      <c r="A48" s="28"/>
      <c r="B48" s="28"/>
      <c r="C48" s="28" t="s">
        <v>253</v>
      </c>
      <c r="D48" s="186">
        <v>0</v>
      </c>
      <c r="E48" s="156">
        <v>1815</v>
      </c>
      <c r="F48" s="82">
        <f t="shared" si="6"/>
        <v>-1815</v>
      </c>
      <c r="G48" s="261"/>
      <c r="H48" s="157"/>
      <c r="I48" s="158"/>
      <c r="J48" s="162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E48" s="3"/>
      <c r="AF48" s="3"/>
      <c r="AG48" s="1"/>
      <c r="AH48" s="1"/>
      <c r="AI48" s="1"/>
      <c r="AJ48" s="1"/>
      <c r="AK48" s="1"/>
      <c r="AL48" s="1"/>
      <c r="AM48" s="1"/>
      <c r="AN48" s="1"/>
    </row>
    <row r="49" spans="1:40" s="2" customFormat="1" x14ac:dyDescent="0.3">
      <c r="A49" s="28"/>
      <c r="B49" s="28"/>
      <c r="C49" s="28" t="s">
        <v>157</v>
      </c>
      <c r="D49" s="194">
        <f>SUM(J49:AC49)</f>
        <v>257.52</v>
      </c>
      <c r="E49" s="210">
        <v>25</v>
      </c>
      <c r="F49" s="82">
        <f t="shared" si="6"/>
        <v>232.51999999999998</v>
      </c>
      <c r="G49" s="261">
        <v>0</v>
      </c>
      <c r="H49" s="162">
        <f t="shared" si="11"/>
        <v>257.52</v>
      </c>
      <c r="I49" s="165" t="s">
        <v>129</v>
      </c>
      <c r="J49" s="162">
        <v>257.52</v>
      </c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E49" s="3"/>
      <c r="AF49" s="3"/>
      <c r="AG49" s="1"/>
      <c r="AH49" s="1"/>
      <c r="AI49" s="1"/>
      <c r="AJ49" s="1"/>
      <c r="AK49" s="1"/>
      <c r="AL49" s="1"/>
      <c r="AM49" s="1"/>
      <c r="AN49" s="1"/>
    </row>
    <row r="50" spans="1:40" s="2" customFormat="1" ht="17.25" customHeight="1" x14ac:dyDescent="0.3">
      <c r="A50" s="28"/>
      <c r="B50" s="28" t="s">
        <v>237</v>
      </c>
      <c r="C50" s="28"/>
      <c r="D50" s="186" t="s">
        <v>31</v>
      </c>
      <c r="E50" s="156"/>
      <c r="F50" s="156"/>
      <c r="G50" s="261"/>
      <c r="H50" s="156"/>
      <c r="I50" s="159"/>
      <c r="J50" s="168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E50" s="3"/>
      <c r="AF50" s="3"/>
      <c r="AG50" s="1"/>
      <c r="AH50" s="1"/>
      <c r="AI50" s="1"/>
      <c r="AJ50" s="1"/>
      <c r="AK50" s="1"/>
      <c r="AL50" s="1"/>
      <c r="AM50" s="1"/>
      <c r="AN50" s="1"/>
    </row>
    <row r="51" spans="1:40" s="2" customFormat="1" ht="17.25" customHeight="1" x14ac:dyDescent="0.3">
      <c r="A51" s="28"/>
      <c r="B51" s="28"/>
      <c r="C51" s="28" t="s">
        <v>55</v>
      </c>
      <c r="D51" s="186">
        <f>SUM(J51:AC51)</f>
        <v>53051.31</v>
      </c>
      <c r="E51" s="156">
        <f>26762+1799</f>
        <v>28561</v>
      </c>
      <c r="F51" s="82">
        <f t="shared" si="6"/>
        <v>24490.309999999998</v>
      </c>
      <c r="G51" s="261">
        <v>25000</v>
      </c>
      <c r="H51" s="157">
        <f t="shared" ref="H51:H55" si="13">+D51-G51</f>
        <v>28051.309999999998</v>
      </c>
      <c r="I51" s="158">
        <f t="shared" si="12"/>
        <v>2.1220523999999998</v>
      </c>
      <c r="J51" s="168">
        <f>19110.36+7875+1750</f>
        <v>28735.360000000001</v>
      </c>
      <c r="K51" s="157"/>
      <c r="L51" s="157">
        <v>100</v>
      </c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>
        <f>23715.95+500</f>
        <v>24215.95</v>
      </c>
      <c r="Y51" s="157"/>
      <c r="Z51" s="157"/>
      <c r="AA51" s="157"/>
      <c r="AB51" s="157"/>
      <c r="AC51" s="157"/>
      <c r="AE51" s="3"/>
      <c r="AF51" s="3"/>
      <c r="AG51" s="1"/>
      <c r="AH51" s="1"/>
      <c r="AI51" s="1"/>
      <c r="AJ51" s="1"/>
      <c r="AK51" s="1"/>
      <c r="AL51" s="1"/>
      <c r="AM51" s="1"/>
      <c r="AN51" s="1"/>
    </row>
    <row r="52" spans="1:40" s="2" customFormat="1" ht="17.25" customHeight="1" x14ac:dyDescent="0.3">
      <c r="A52" s="28"/>
      <c r="B52" s="28"/>
      <c r="C52" s="28" t="s">
        <v>131</v>
      </c>
      <c r="D52" s="186">
        <f>SUM(J52:AC52)</f>
        <v>8349.01</v>
      </c>
      <c r="E52" s="156">
        <v>0</v>
      </c>
      <c r="F52" s="82">
        <f t="shared" si="6"/>
        <v>8349.01</v>
      </c>
      <c r="G52" s="261">
        <v>0</v>
      </c>
      <c r="H52" s="157">
        <f t="shared" si="13"/>
        <v>8349.01</v>
      </c>
      <c r="I52" s="158" t="s">
        <v>129</v>
      </c>
      <c r="J52" s="168">
        <v>8349.01</v>
      </c>
      <c r="K52" s="157"/>
      <c r="L52" s="157"/>
      <c r="M52" s="157"/>
      <c r="N52" s="157" t="s">
        <v>31</v>
      </c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E52" s="3"/>
      <c r="AF52" s="3"/>
      <c r="AG52" s="1"/>
      <c r="AH52" s="1"/>
      <c r="AI52" s="1"/>
      <c r="AJ52" s="1"/>
      <c r="AK52" s="1"/>
      <c r="AL52" s="1"/>
      <c r="AM52" s="1"/>
      <c r="AN52" s="1"/>
    </row>
    <row r="53" spans="1:40" ht="17.25" customHeight="1" x14ac:dyDescent="0.3">
      <c r="A53" s="28"/>
      <c r="B53" s="28"/>
      <c r="C53" s="28" t="s">
        <v>54</v>
      </c>
      <c r="D53" s="186">
        <f>SUM(J53:AC53)</f>
        <v>117</v>
      </c>
      <c r="E53" s="156">
        <v>0</v>
      </c>
      <c r="F53" s="82">
        <f t="shared" si="6"/>
        <v>117</v>
      </c>
      <c r="G53" s="261">
        <v>0</v>
      </c>
      <c r="H53" s="157">
        <f t="shared" si="13"/>
        <v>117</v>
      </c>
      <c r="I53" s="158" t="s">
        <v>129</v>
      </c>
      <c r="J53" s="168">
        <v>117</v>
      </c>
      <c r="K53" s="14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</row>
    <row r="54" spans="1:40" s="2" customFormat="1" ht="17.25" customHeight="1" x14ac:dyDescent="0.3">
      <c r="A54" s="28"/>
      <c r="B54" s="28"/>
      <c r="C54" s="28" t="s">
        <v>58</v>
      </c>
      <c r="D54" s="186">
        <f>SUM(J54:AC54)</f>
        <v>0</v>
      </c>
      <c r="E54" s="156">
        <v>12744</v>
      </c>
      <c r="F54" s="82">
        <f t="shared" si="6"/>
        <v>-12744</v>
      </c>
      <c r="G54" s="261">
        <v>10000</v>
      </c>
      <c r="H54" s="157">
        <f t="shared" si="13"/>
        <v>-10000</v>
      </c>
      <c r="I54" s="158">
        <f t="shared" si="12"/>
        <v>0</v>
      </c>
      <c r="J54" s="168"/>
      <c r="K54" s="157"/>
      <c r="L54" s="157"/>
      <c r="M54" s="157"/>
      <c r="N54" s="157"/>
      <c r="O54" s="157"/>
      <c r="P54" s="157"/>
      <c r="Q54" s="157"/>
      <c r="R54" s="157"/>
      <c r="S54" s="157"/>
      <c r="T54" s="157">
        <v>0</v>
      </c>
      <c r="U54" s="157">
        <v>0</v>
      </c>
      <c r="V54" s="157"/>
      <c r="W54" s="157"/>
      <c r="X54" s="157"/>
      <c r="Y54" s="157"/>
      <c r="Z54" s="157"/>
      <c r="AA54" s="157"/>
      <c r="AB54" s="157"/>
      <c r="AC54" s="157"/>
      <c r="AE54" s="3"/>
      <c r="AF54" s="3"/>
      <c r="AG54" s="1"/>
      <c r="AH54" s="1"/>
      <c r="AI54" s="1"/>
      <c r="AJ54" s="1"/>
      <c r="AK54" s="1"/>
      <c r="AL54" s="1"/>
      <c r="AM54" s="1"/>
      <c r="AN54" s="1"/>
    </row>
    <row r="55" spans="1:40" ht="17.25" customHeight="1" x14ac:dyDescent="0.3">
      <c r="A55" s="28"/>
      <c r="B55" s="28"/>
      <c r="C55" s="28" t="s">
        <v>59</v>
      </c>
      <c r="D55" s="186">
        <f>SUM(J55:AC55)</f>
        <v>9551.48</v>
      </c>
      <c r="E55" s="156">
        <v>0</v>
      </c>
      <c r="F55" s="82">
        <f t="shared" si="6"/>
        <v>9551.48</v>
      </c>
      <c r="G55" s="261">
        <v>0</v>
      </c>
      <c r="H55" s="157">
        <f t="shared" si="13"/>
        <v>9551.48</v>
      </c>
      <c r="I55" s="158" t="s">
        <v>129</v>
      </c>
      <c r="J55" s="168"/>
      <c r="K55" s="157"/>
      <c r="L55" s="157"/>
      <c r="M55" s="157"/>
      <c r="N55" s="157"/>
      <c r="O55" s="157"/>
      <c r="P55" s="157"/>
      <c r="Q55" s="157"/>
      <c r="R55" s="157"/>
      <c r="S55" s="157"/>
      <c r="T55" s="157">
        <v>9101.48</v>
      </c>
      <c r="U55" s="157">
        <v>450</v>
      </c>
      <c r="V55" s="157"/>
      <c r="W55" s="157"/>
      <c r="X55" s="157"/>
      <c r="Y55" s="157"/>
      <c r="Z55" s="157"/>
      <c r="AA55" s="157"/>
      <c r="AB55" s="157"/>
      <c r="AC55" s="157"/>
    </row>
    <row r="56" spans="1:40" s="2" customFormat="1" ht="17.25" customHeight="1" x14ac:dyDescent="0.3">
      <c r="A56" s="28"/>
      <c r="B56" s="28"/>
      <c r="C56" s="28" t="s">
        <v>56</v>
      </c>
      <c r="D56" s="186" t="s">
        <v>31</v>
      </c>
      <c r="E56" s="156"/>
      <c r="F56" s="156"/>
      <c r="G56" s="261"/>
      <c r="H56" s="156"/>
      <c r="I56" s="159"/>
      <c r="J56" s="168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E56" s="3"/>
      <c r="AF56" s="3"/>
      <c r="AG56" s="1"/>
      <c r="AH56" s="1"/>
      <c r="AI56" s="1"/>
      <c r="AJ56" s="1"/>
      <c r="AK56" s="1"/>
      <c r="AL56" s="1"/>
      <c r="AM56" s="1"/>
      <c r="AN56" s="1"/>
    </row>
    <row r="57" spans="1:40" ht="17.25" hidden="1" customHeight="1" x14ac:dyDescent="0.3">
      <c r="A57" s="28"/>
      <c r="B57" s="28"/>
      <c r="C57" s="28" t="s">
        <v>198</v>
      </c>
      <c r="D57" s="186">
        <f t="shared" ref="D57:D68" si="14">SUM(J57:AC57)</f>
        <v>0</v>
      </c>
      <c r="E57" s="156"/>
      <c r="F57" s="156"/>
      <c r="G57" s="261">
        <v>0</v>
      </c>
      <c r="H57" s="157">
        <f t="shared" ref="H57:H69" si="15">+D57-G57</f>
        <v>0</v>
      </c>
      <c r="I57" s="158" t="s">
        <v>129</v>
      </c>
      <c r="J57" s="168"/>
      <c r="K57" s="14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</row>
    <row r="58" spans="1:40" s="23" customFormat="1" ht="17.25" hidden="1" customHeight="1" x14ac:dyDescent="0.3">
      <c r="A58" s="160"/>
      <c r="B58" s="160"/>
      <c r="C58" s="160" t="s">
        <v>199</v>
      </c>
      <c r="D58" s="186">
        <f t="shared" si="14"/>
        <v>0</v>
      </c>
      <c r="E58" s="156"/>
      <c r="F58" s="156"/>
      <c r="G58" s="261">
        <v>0</v>
      </c>
      <c r="H58" s="157">
        <f t="shared" si="15"/>
        <v>0</v>
      </c>
      <c r="I58" s="158" t="s">
        <v>129</v>
      </c>
      <c r="J58" s="168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</row>
    <row r="59" spans="1:40" s="2" customFormat="1" ht="17.25" hidden="1" customHeight="1" x14ac:dyDescent="0.3">
      <c r="A59" s="28"/>
      <c r="B59" s="28"/>
      <c r="C59" s="28" t="s">
        <v>57</v>
      </c>
      <c r="D59" s="186">
        <f t="shared" si="14"/>
        <v>0</v>
      </c>
      <c r="E59" s="156"/>
      <c r="F59" s="156"/>
      <c r="G59" s="261">
        <v>0</v>
      </c>
      <c r="H59" s="157">
        <f t="shared" si="15"/>
        <v>0</v>
      </c>
      <c r="I59" s="158" t="s">
        <v>129</v>
      </c>
      <c r="J59" s="168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E59" s="3"/>
      <c r="AF59" s="3"/>
      <c r="AG59" s="1"/>
      <c r="AH59" s="1"/>
      <c r="AI59" s="1"/>
      <c r="AJ59" s="1"/>
      <c r="AK59" s="1"/>
      <c r="AL59" s="1"/>
      <c r="AM59" s="1"/>
      <c r="AN59" s="1"/>
    </row>
    <row r="60" spans="1:40" s="2" customFormat="1" ht="17.25" customHeight="1" x14ac:dyDescent="0.3">
      <c r="A60" s="28"/>
      <c r="B60" s="28"/>
      <c r="C60" s="28" t="s">
        <v>200</v>
      </c>
      <c r="D60" s="186">
        <f t="shared" si="14"/>
        <v>0</v>
      </c>
      <c r="E60" s="156">
        <v>0</v>
      </c>
      <c r="F60" s="82">
        <f t="shared" ref="F60:F71" si="16">D60-E60</f>
        <v>0</v>
      </c>
      <c r="G60" s="261">
        <v>6000</v>
      </c>
      <c r="H60" s="157">
        <f t="shared" si="15"/>
        <v>-6000</v>
      </c>
      <c r="I60" s="158">
        <f t="shared" ref="I60:I68" si="17">+D60/G60</f>
        <v>0</v>
      </c>
      <c r="J60" s="168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E60" s="3"/>
      <c r="AF60" s="3"/>
      <c r="AG60" s="1"/>
      <c r="AH60" s="1"/>
      <c r="AI60" s="1"/>
      <c r="AJ60" s="1"/>
      <c r="AK60" s="1"/>
      <c r="AL60" s="1"/>
      <c r="AM60" s="1"/>
      <c r="AN60" s="1"/>
    </row>
    <row r="61" spans="1:40" s="2" customFormat="1" ht="17.25" hidden="1" customHeight="1" x14ac:dyDescent="0.3">
      <c r="A61" s="28"/>
      <c r="B61" s="28"/>
      <c r="C61" s="28" t="s">
        <v>205</v>
      </c>
      <c r="D61" s="186">
        <f t="shared" si="14"/>
        <v>0</v>
      </c>
      <c r="E61" s="156"/>
      <c r="F61" s="82">
        <f t="shared" si="16"/>
        <v>0</v>
      </c>
      <c r="G61" s="261">
        <v>0</v>
      </c>
      <c r="H61" s="157">
        <f t="shared" si="15"/>
        <v>0</v>
      </c>
      <c r="I61" s="158" t="e">
        <f t="shared" si="17"/>
        <v>#DIV/0!</v>
      </c>
      <c r="J61" s="168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E61" s="3"/>
      <c r="AF61" s="3"/>
      <c r="AG61" s="1"/>
      <c r="AH61" s="1"/>
      <c r="AI61" s="1"/>
      <c r="AJ61" s="1"/>
      <c r="AK61" s="1"/>
      <c r="AL61" s="1"/>
      <c r="AM61" s="1"/>
      <c r="AN61" s="1"/>
    </row>
    <row r="62" spans="1:40" s="2" customFormat="1" ht="17.25" hidden="1" customHeight="1" x14ac:dyDescent="0.3">
      <c r="A62" s="28"/>
      <c r="B62" s="28"/>
      <c r="C62" s="28" t="s">
        <v>204</v>
      </c>
      <c r="D62" s="186">
        <f t="shared" si="14"/>
        <v>0</v>
      </c>
      <c r="E62" s="156"/>
      <c r="F62" s="82">
        <f t="shared" si="16"/>
        <v>0</v>
      </c>
      <c r="G62" s="261">
        <v>0</v>
      </c>
      <c r="H62" s="157">
        <f t="shared" si="15"/>
        <v>0</v>
      </c>
      <c r="I62" s="158" t="e">
        <f t="shared" si="17"/>
        <v>#DIV/0!</v>
      </c>
      <c r="J62" s="168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E62" s="3"/>
      <c r="AF62" s="3"/>
      <c r="AG62" s="1"/>
      <c r="AH62" s="1"/>
      <c r="AI62" s="1"/>
      <c r="AJ62" s="1"/>
      <c r="AK62" s="1"/>
      <c r="AL62" s="1"/>
      <c r="AM62" s="1"/>
      <c r="AN62" s="1"/>
    </row>
    <row r="63" spans="1:40" s="2" customFormat="1" ht="17.25" hidden="1" customHeight="1" x14ac:dyDescent="0.3">
      <c r="A63" s="28"/>
      <c r="B63" s="28"/>
      <c r="C63" s="28" t="s">
        <v>171</v>
      </c>
      <c r="D63" s="186">
        <f t="shared" si="14"/>
        <v>0</v>
      </c>
      <c r="E63" s="156"/>
      <c r="F63" s="82">
        <f t="shared" si="16"/>
        <v>0</v>
      </c>
      <c r="G63" s="261">
        <v>0</v>
      </c>
      <c r="H63" s="157">
        <f t="shared" si="15"/>
        <v>0</v>
      </c>
      <c r="I63" s="158" t="e">
        <f t="shared" si="17"/>
        <v>#DIV/0!</v>
      </c>
      <c r="J63" s="168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E63" s="3"/>
      <c r="AF63" s="3"/>
      <c r="AG63" s="1"/>
      <c r="AH63" s="1"/>
      <c r="AI63" s="1"/>
      <c r="AJ63" s="1"/>
      <c r="AK63" s="1"/>
      <c r="AL63" s="1"/>
      <c r="AM63" s="1"/>
      <c r="AN63" s="1"/>
    </row>
    <row r="64" spans="1:40" s="2" customFormat="1" ht="17.25" hidden="1" customHeight="1" x14ac:dyDescent="0.3">
      <c r="A64" s="28"/>
      <c r="B64" s="28"/>
      <c r="C64" s="28" t="s">
        <v>169</v>
      </c>
      <c r="D64" s="186">
        <f t="shared" si="14"/>
        <v>0</v>
      </c>
      <c r="E64" s="156"/>
      <c r="F64" s="82">
        <f t="shared" si="16"/>
        <v>0</v>
      </c>
      <c r="G64" s="261">
        <v>0</v>
      </c>
      <c r="H64" s="157">
        <f t="shared" si="15"/>
        <v>0</v>
      </c>
      <c r="I64" s="158" t="e">
        <f t="shared" si="17"/>
        <v>#DIV/0!</v>
      </c>
      <c r="J64" s="168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E64" s="3"/>
      <c r="AF64" s="3"/>
      <c r="AG64" s="1"/>
      <c r="AH64" s="1"/>
      <c r="AI64" s="1"/>
      <c r="AJ64" s="1"/>
      <c r="AK64" s="1"/>
      <c r="AL64" s="1"/>
      <c r="AM64" s="1"/>
      <c r="AN64" s="1"/>
    </row>
    <row r="65" spans="1:40" s="2" customFormat="1" ht="17.25" hidden="1" customHeight="1" x14ac:dyDescent="0.3">
      <c r="A65" s="28"/>
      <c r="B65" s="28"/>
      <c r="C65" s="28" t="s">
        <v>202</v>
      </c>
      <c r="D65" s="186">
        <f t="shared" si="14"/>
        <v>0</v>
      </c>
      <c r="E65" s="156"/>
      <c r="F65" s="82">
        <f t="shared" si="16"/>
        <v>0</v>
      </c>
      <c r="G65" s="261">
        <v>0</v>
      </c>
      <c r="H65" s="157">
        <f t="shared" si="15"/>
        <v>0</v>
      </c>
      <c r="I65" s="158" t="e">
        <f t="shared" si="17"/>
        <v>#DIV/0!</v>
      </c>
      <c r="J65" s="168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E65" s="3"/>
      <c r="AF65" s="3"/>
      <c r="AG65" s="1"/>
      <c r="AH65" s="1"/>
      <c r="AI65" s="1"/>
      <c r="AJ65" s="1"/>
      <c r="AK65" s="1"/>
      <c r="AL65" s="1"/>
      <c r="AM65" s="1"/>
      <c r="AN65" s="1"/>
    </row>
    <row r="66" spans="1:40" s="2" customFormat="1" ht="17.25" hidden="1" customHeight="1" x14ac:dyDescent="0.3">
      <c r="A66" s="28"/>
      <c r="B66" s="28"/>
      <c r="C66" s="28" t="s">
        <v>201</v>
      </c>
      <c r="D66" s="186">
        <f t="shared" si="14"/>
        <v>0</v>
      </c>
      <c r="E66" s="156"/>
      <c r="F66" s="82">
        <f t="shared" si="16"/>
        <v>0</v>
      </c>
      <c r="G66" s="261">
        <v>0</v>
      </c>
      <c r="H66" s="157">
        <f t="shared" si="15"/>
        <v>0</v>
      </c>
      <c r="I66" s="158" t="e">
        <f t="shared" si="17"/>
        <v>#DIV/0!</v>
      </c>
      <c r="J66" s="168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E66" s="3"/>
      <c r="AF66" s="3"/>
      <c r="AG66" s="1"/>
      <c r="AH66" s="1"/>
      <c r="AI66" s="1"/>
      <c r="AJ66" s="1"/>
      <c r="AK66" s="1"/>
      <c r="AL66" s="1"/>
      <c r="AM66" s="1"/>
      <c r="AN66" s="1"/>
    </row>
    <row r="67" spans="1:40" s="2" customFormat="1" ht="17.25" hidden="1" customHeight="1" x14ac:dyDescent="0.3">
      <c r="A67" s="28"/>
      <c r="B67" s="28"/>
      <c r="C67" s="28" t="s">
        <v>203</v>
      </c>
      <c r="D67" s="186">
        <f t="shared" si="14"/>
        <v>0</v>
      </c>
      <c r="E67" s="156"/>
      <c r="F67" s="82">
        <f t="shared" si="16"/>
        <v>0</v>
      </c>
      <c r="G67" s="261">
        <v>0</v>
      </c>
      <c r="H67" s="157">
        <f t="shared" si="15"/>
        <v>0</v>
      </c>
      <c r="I67" s="158" t="e">
        <f t="shared" si="17"/>
        <v>#DIV/0!</v>
      </c>
      <c r="J67" s="168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E67" s="3"/>
      <c r="AF67" s="3"/>
      <c r="AG67" s="1"/>
      <c r="AH67" s="1"/>
      <c r="AI67" s="1"/>
      <c r="AJ67" s="1"/>
      <c r="AK67" s="1"/>
      <c r="AL67" s="1"/>
      <c r="AM67" s="1"/>
      <c r="AN67" s="1"/>
    </row>
    <row r="68" spans="1:40" s="2" customFormat="1" x14ac:dyDescent="0.3">
      <c r="A68" s="28"/>
      <c r="B68" s="28"/>
      <c r="C68" s="28" t="s">
        <v>173</v>
      </c>
      <c r="D68" s="186">
        <f t="shared" si="14"/>
        <v>0</v>
      </c>
      <c r="E68" s="156">
        <v>0</v>
      </c>
      <c r="F68" s="82">
        <f t="shared" si="16"/>
        <v>0</v>
      </c>
      <c r="G68" s="261">
        <v>0</v>
      </c>
      <c r="H68" s="157">
        <f t="shared" si="15"/>
        <v>0</v>
      </c>
      <c r="I68" s="158" t="e">
        <f t="shared" si="17"/>
        <v>#DIV/0!</v>
      </c>
      <c r="J68" s="168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E68" s="3"/>
      <c r="AF68" s="3"/>
      <c r="AG68" s="1"/>
      <c r="AH68" s="1"/>
      <c r="AI68" s="1"/>
      <c r="AJ68" s="1"/>
      <c r="AK68" s="1"/>
      <c r="AL68" s="1"/>
      <c r="AM68" s="1"/>
      <c r="AN68" s="1"/>
    </row>
    <row r="69" spans="1:40" ht="17.25" customHeight="1" x14ac:dyDescent="0.3">
      <c r="A69" s="28"/>
      <c r="B69" s="28" t="s">
        <v>60</v>
      </c>
      <c r="C69" s="28"/>
      <c r="D69" s="186">
        <f>SUM(J69:AC69)</f>
        <v>5587</v>
      </c>
      <c r="E69" s="156">
        <v>0</v>
      </c>
      <c r="F69" s="82">
        <f t="shared" si="16"/>
        <v>5587</v>
      </c>
      <c r="G69" s="261">
        <v>5670</v>
      </c>
      <c r="H69" s="157">
        <f t="shared" si="15"/>
        <v>-83</v>
      </c>
      <c r="I69" s="158" t="s">
        <v>129</v>
      </c>
      <c r="J69" s="168"/>
      <c r="K69" s="14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>
        <v>5587</v>
      </c>
      <c r="Z69" s="157"/>
      <c r="AA69" s="157"/>
      <c r="AB69" s="157"/>
      <c r="AC69" s="157"/>
    </row>
    <row r="70" spans="1:40" ht="12" customHeight="1" x14ac:dyDescent="0.3">
      <c r="A70" s="28"/>
      <c r="B70" s="32"/>
      <c r="C70" s="28"/>
      <c r="D70" s="186"/>
      <c r="E70" s="156"/>
      <c r="F70" s="156"/>
      <c r="G70" s="261"/>
      <c r="H70" s="156"/>
      <c r="I70" s="159"/>
      <c r="J70" s="168"/>
      <c r="K70" s="14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</row>
    <row r="71" spans="1:40" ht="17.25" customHeight="1" x14ac:dyDescent="0.3">
      <c r="A71" s="28"/>
      <c r="B71" s="32" t="s">
        <v>122</v>
      </c>
      <c r="C71" s="28"/>
      <c r="D71" s="186">
        <f>SUM(J71:AC71)</f>
        <v>0</v>
      </c>
      <c r="E71" s="156">
        <v>20000</v>
      </c>
      <c r="F71" s="82">
        <f t="shared" si="16"/>
        <v>-20000</v>
      </c>
      <c r="G71" s="261">
        <v>0</v>
      </c>
      <c r="H71" s="157">
        <f t="shared" ref="H71" si="18">+D71-G71</f>
        <v>0</v>
      </c>
      <c r="I71" s="158" t="s">
        <v>129</v>
      </c>
      <c r="J71" s="168"/>
      <c r="K71" s="147" t="s">
        <v>31</v>
      </c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</row>
    <row r="72" spans="1:40" ht="12" customHeight="1" x14ac:dyDescent="0.3">
      <c r="A72" s="28"/>
      <c r="B72" s="32"/>
      <c r="C72" s="28"/>
      <c r="D72" s="186"/>
      <c r="E72" s="156"/>
      <c r="F72" s="156"/>
      <c r="G72" s="261"/>
      <c r="H72" s="156"/>
      <c r="I72" s="159"/>
      <c r="J72" s="168"/>
      <c r="K72" s="14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</row>
    <row r="73" spans="1:40" ht="17.25" customHeight="1" x14ac:dyDescent="0.3">
      <c r="A73" s="63" t="s">
        <v>163</v>
      </c>
      <c r="B73" s="63"/>
      <c r="C73" s="63"/>
      <c r="D73" s="187">
        <f>SUM(D8:D72)</f>
        <v>2457222.56</v>
      </c>
      <c r="E73" s="179">
        <f>SUM(E8:E72)</f>
        <v>2462381</v>
      </c>
      <c r="F73" s="179">
        <f>SUM(F8:F72)</f>
        <v>-5158.4400000000005</v>
      </c>
      <c r="G73" s="86">
        <f t="shared" ref="G73:H73" si="19">SUM(G8:G72)</f>
        <v>2675020</v>
      </c>
      <c r="H73" s="179">
        <f t="shared" si="19"/>
        <v>-217797.44</v>
      </c>
      <c r="I73" s="180">
        <f t="shared" ref="I73" si="20">+D73/G73</f>
        <v>0.91858100500183182</v>
      </c>
      <c r="J73" s="181">
        <f t="shared" ref="J73:AC73" si="21">SUM(J8:J72)</f>
        <v>1982155.82</v>
      </c>
      <c r="K73" s="179">
        <f t="shared" si="21"/>
        <v>0</v>
      </c>
      <c r="L73" s="179">
        <f t="shared" si="21"/>
        <v>59335</v>
      </c>
      <c r="M73" s="179">
        <f t="shared" si="21"/>
        <v>65100</v>
      </c>
      <c r="N73" s="179">
        <f t="shared" si="21"/>
        <v>34812</v>
      </c>
      <c r="O73" s="179">
        <f t="shared" si="21"/>
        <v>15125</v>
      </c>
      <c r="P73" s="179">
        <f t="shared" si="21"/>
        <v>125</v>
      </c>
      <c r="Q73" s="179">
        <f t="shared" si="21"/>
        <v>34000</v>
      </c>
      <c r="R73" s="179">
        <f t="shared" si="21"/>
        <v>60000</v>
      </c>
      <c r="S73" s="179">
        <f t="shared" si="21"/>
        <v>0</v>
      </c>
      <c r="T73" s="179">
        <f t="shared" si="21"/>
        <v>119301.48</v>
      </c>
      <c r="U73" s="179">
        <f t="shared" si="21"/>
        <v>47700</v>
      </c>
      <c r="V73" s="179">
        <f t="shared" si="21"/>
        <v>0</v>
      </c>
      <c r="W73" s="179">
        <f t="shared" si="21"/>
        <v>9350</v>
      </c>
      <c r="X73" s="179">
        <f t="shared" si="21"/>
        <v>24631.260000000002</v>
      </c>
      <c r="Y73" s="179">
        <f t="shared" si="21"/>
        <v>5587</v>
      </c>
      <c r="Z73" s="179">
        <f t="shared" si="21"/>
        <v>0</v>
      </c>
      <c r="AA73" s="179">
        <f t="shared" si="21"/>
        <v>0</v>
      </c>
      <c r="AB73" s="179">
        <f t="shared" si="21"/>
        <v>0</v>
      </c>
      <c r="AC73" s="179">
        <f t="shared" si="21"/>
        <v>0</v>
      </c>
    </row>
    <row r="74" spans="1:40" ht="12" customHeight="1" x14ac:dyDescent="0.3">
      <c r="A74" s="28"/>
      <c r="B74" s="32"/>
      <c r="C74" s="28"/>
      <c r="D74" s="188"/>
      <c r="E74" s="157"/>
      <c r="F74" s="157"/>
      <c r="G74" s="262"/>
      <c r="H74" s="157"/>
      <c r="I74" s="161"/>
      <c r="J74" s="168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</row>
    <row r="75" spans="1:40" ht="17.25" customHeight="1" x14ac:dyDescent="0.3">
      <c r="A75" s="255" t="s">
        <v>61</v>
      </c>
      <c r="B75" s="32"/>
      <c r="C75" s="28"/>
      <c r="D75" s="186"/>
      <c r="E75" s="156"/>
      <c r="F75" s="156"/>
      <c r="G75" s="261"/>
      <c r="H75" s="156"/>
      <c r="I75" s="159"/>
      <c r="J75" s="168"/>
      <c r="K75" s="14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</row>
    <row r="76" spans="1:40" s="8" customFormat="1" ht="17.25" hidden="1" customHeight="1" x14ac:dyDescent="0.3">
      <c r="A76" s="24"/>
      <c r="B76" s="32" t="s">
        <v>217</v>
      </c>
      <c r="C76" s="28"/>
      <c r="D76" s="186">
        <f t="shared" ref="D76:D83" si="22">SUM(J76:AC76)</f>
        <v>0</v>
      </c>
      <c r="E76" s="156"/>
      <c r="F76" s="156"/>
      <c r="G76" s="261"/>
      <c r="H76" s="156"/>
      <c r="I76" s="159"/>
      <c r="J76" s="167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5"/>
      <c r="AE76" s="6"/>
      <c r="AF76" s="6"/>
      <c r="AG76" s="7"/>
      <c r="AH76" s="7"/>
      <c r="AI76" s="7"/>
      <c r="AJ76" s="7"/>
      <c r="AK76" s="7"/>
      <c r="AL76" s="7"/>
      <c r="AM76" s="7"/>
      <c r="AN76" s="7"/>
    </row>
    <row r="77" spans="1:40" s="8" customFormat="1" ht="17.25" hidden="1" customHeight="1" x14ac:dyDescent="0.3">
      <c r="A77" s="24"/>
      <c r="B77" s="32" t="s">
        <v>215</v>
      </c>
      <c r="C77" s="28"/>
      <c r="D77" s="186">
        <f t="shared" si="22"/>
        <v>0</v>
      </c>
      <c r="E77" s="156"/>
      <c r="F77" s="156"/>
      <c r="G77" s="261"/>
      <c r="H77" s="156"/>
      <c r="I77" s="159"/>
      <c r="J77" s="167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5"/>
      <c r="AE77" s="6"/>
      <c r="AF77" s="6"/>
      <c r="AG77" s="7"/>
      <c r="AH77" s="7"/>
      <c r="AI77" s="7"/>
      <c r="AJ77" s="7"/>
      <c r="AK77" s="7"/>
      <c r="AL77" s="7"/>
      <c r="AM77" s="7"/>
      <c r="AN77" s="7"/>
    </row>
    <row r="78" spans="1:40" s="8" customFormat="1" ht="17.25" hidden="1" customHeight="1" x14ac:dyDescent="0.3">
      <c r="A78" s="24"/>
      <c r="B78" s="32" t="s">
        <v>214</v>
      </c>
      <c r="C78" s="28"/>
      <c r="D78" s="186">
        <f t="shared" si="22"/>
        <v>0</v>
      </c>
      <c r="E78" s="156"/>
      <c r="F78" s="156"/>
      <c r="G78" s="261"/>
      <c r="H78" s="156"/>
      <c r="I78" s="159"/>
      <c r="J78" s="167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5"/>
      <c r="AE78" s="6"/>
      <c r="AF78" s="6"/>
      <c r="AG78" s="7"/>
      <c r="AH78" s="7"/>
      <c r="AI78" s="7"/>
      <c r="AJ78" s="7"/>
      <c r="AK78" s="7"/>
      <c r="AL78" s="7"/>
      <c r="AM78" s="7"/>
      <c r="AN78" s="7"/>
    </row>
    <row r="79" spans="1:40" s="8" customFormat="1" ht="17.25" hidden="1" customHeight="1" x14ac:dyDescent="0.3">
      <c r="A79" s="24"/>
      <c r="B79" s="32" t="s">
        <v>213</v>
      </c>
      <c r="C79" s="28"/>
      <c r="D79" s="186">
        <f t="shared" si="22"/>
        <v>0</v>
      </c>
      <c r="E79" s="156"/>
      <c r="F79" s="156"/>
      <c r="G79" s="261"/>
      <c r="H79" s="156"/>
      <c r="I79" s="159"/>
      <c r="J79" s="167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5"/>
      <c r="AE79" s="6"/>
      <c r="AF79" s="6"/>
      <c r="AG79" s="7"/>
      <c r="AH79" s="7"/>
      <c r="AI79" s="7"/>
      <c r="AJ79" s="7"/>
      <c r="AK79" s="7"/>
      <c r="AL79" s="7"/>
      <c r="AM79" s="7"/>
      <c r="AN79" s="7"/>
    </row>
    <row r="80" spans="1:40" s="8" customFormat="1" ht="17.25" hidden="1" customHeight="1" x14ac:dyDescent="0.3">
      <c r="A80" s="24"/>
      <c r="B80" s="32" t="s">
        <v>153</v>
      </c>
      <c r="C80" s="28"/>
      <c r="D80" s="186">
        <f t="shared" si="22"/>
        <v>0</v>
      </c>
      <c r="E80" s="156"/>
      <c r="F80" s="156"/>
      <c r="G80" s="261"/>
      <c r="H80" s="156"/>
      <c r="I80" s="159"/>
      <c r="J80" s="167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5"/>
      <c r="AE80" s="6"/>
      <c r="AF80" s="6"/>
      <c r="AG80" s="7"/>
      <c r="AH80" s="7"/>
      <c r="AI80" s="7"/>
      <c r="AJ80" s="7"/>
      <c r="AK80" s="7"/>
      <c r="AL80" s="7"/>
      <c r="AM80" s="7"/>
      <c r="AN80" s="7"/>
    </row>
    <row r="81" spans="1:40" s="8" customFormat="1" ht="17.25" hidden="1" customHeight="1" x14ac:dyDescent="0.3">
      <c r="A81" s="24"/>
      <c r="B81" s="32" t="s">
        <v>211</v>
      </c>
      <c r="C81" s="28"/>
      <c r="D81" s="186">
        <f t="shared" si="22"/>
        <v>0</v>
      </c>
      <c r="E81" s="156"/>
      <c r="F81" s="156"/>
      <c r="G81" s="261"/>
      <c r="H81" s="156"/>
      <c r="I81" s="159"/>
      <c r="J81" s="167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5"/>
      <c r="AE81" s="6"/>
      <c r="AF81" s="6"/>
      <c r="AG81" s="7"/>
      <c r="AH81" s="7"/>
      <c r="AI81" s="7"/>
      <c r="AJ81" s="7"/>
      <c r="AK81" s="7"/>
      <c r="AL81" s="7"/>
      <c r="AM81" s="7"/>
      <c r="AN81" s="7"/>
    </row>
    <row r="82" spans="1:40" s="8" customFormat="1" ht="17.25" hidden="1" customHeight="1" x14ac:dyDescent="0.3">
      <c r="A82" s="24"/>
      <c r="B82" s="32" t="s">
        <v>212</v>
      </c>
      <c r="C82" s="28"/>
      <c r="D82" s="186">
        <f t="shared" si="22"/>
        <v>0</v>
      </c>
      <c r="E82" s="156"/>
      <c r="F82" s="156"/>
      <c r="G82" s="261"/>
      <c r="H82" s="156"/>
      <c r="I82" s="159"/>
      <c r="J82" s="167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5"/>
      <c r="AE82" s="6"/>
      <c r="AF82" s="6"/>
      <c r="AG82" s="7"/>
      <c r="AH82" s="7"/>
      <c r="AI82" s="7"/>
      <c r="AJ82" s="7"/>
      <c r="AK82" s="7"/>
      <c r="AL82" s="7"/>
      <c r="AM82" s="7"/>
      <c r="AN82" s="7"/>
    </row>
    <row r="83" spans="1:40" s="8" customFormat="1" ht="17.25" customHeight="1" x14ac:dyDescent="0.3">
      <c r="A83" s="24"/>
      <c r="B83" s="28" t="s">
        <v>124</v>
      </c>
      <c r="C83" s="28"/>
      <c r="D83" s="186">
        <f t="shared" si="22"/>
        <v>0</v>
      </c>
      <c r="E83" s="156">
        <v>0</v>
      </c>
      <c r="F83" s="205">
        <f t="shared" ref="F83" si="23">D83-E83</f>
        <v>0</v>
      </c>
      <c r="G83" s="261">
        <v>499</v>
      </c>
      <c r="H83" s="157">
        <f t="shared" ref="H83" si="24">+D83-G83</f>
        <v>-499</v>
      </c>
      <c r="I83" s="158">
        <f t="shared" ref="I83" si="25">+D83/G83</f>
        <v>0</v>
      </c>
      <c r="J83" s="167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5"/>
      <c r="AE83" s="6"/>
      <c r="AF83" s="6"/>
      <c r="AG83" s="7"/>
      <c r="AH83" s="7"/>
      <c r="AI83" s="7"/>
      <c r="AJ83" s="7"/>
      <c r="AK83" s="7"/>
      <c r="AL83" s="7"/>
      <c r="AM83" s="7"/>
      <c r="AN83" s="7"/>
    </row>
    <row r="84" spans="1:40" ht="10.95" customHeight="1" x14ac:dyDescent="0.3">
      <c r="A84" s="28"/>
      <c r="B84" s="32"/>
      <c r="C84" s="28"/>
      <c r="D84" s="186"/>
      <c r="E84" s="156"/>
      <c r="F84" s="156"/>
      <c r="G84" s="261"/>
      <c r="H84" s="156"/>
      <c r="I84" s="159"/>
      <c r="J84" s="168"/>
      <c r="K84" s="14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</row>
    <row r="85" spans="1:40" ht="17.25" customHeight="1" x14ac:dyDescent="0.3">
      <c r="A85" s="255" t="s">
        <v>120</v>
      </c>
      <c r="B85" s="32"/>
      <c r="C85" s="28"/>
      <c r="D85" s="186"/>
      <c r="E85" s="156"/>
      <c r="F85" s="156"/>
      <c r="G85" s="261"/>
      <c r="H85" s="156"/>
      <c r="I85" s="159"/>
      <c r="J85" s="168"/>
      <c r="K85" s="14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</row>
    <row r="86" spans="1:40" s="9" customFormat="1" x14ac:dyDescent="0.3">
      <c r="A86" s="148" t="s">
        <v>31</v>
      </c>
      <c r="B86" s="28" t="s">
        <v>62</v>
      </c>
      <c r="C86" s="28"/>
      <c r="D86" s="186">
        <f>SUM(J86:AC86)</f>
        <v>73185</v>
      </c>
      <c r="E86" s="156">
        <v>0</v>
      </c>
      <c r="F86" s="205">
        <f t="shared" ref="F86:F88" si="26">D86-E86</f>
        <v>73185</v>
      </c>
      <c r="G86" s="261">
        <v>73185</v>
      </c>
      <c r="H86" s="157">
        <f t="shared" ref="H86:H88" si="27">+D86-G86</f>
        <v>0</v>
      </c>
      <c r="I86" s="158">
        <f t="shared" ref="I86:I90" si="28">+D86/G86</f>
        <v>1</v>
      </c>
      <c r="J86" s="168">
        <v>73185</v>
      </c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0"/>
      <c r="AE86" s="11"/>
      <c r="AF86" s="11"/>
    </row>
    <row r="87" spans="1:40" s="9" customFormat="1" x14ac:dyDescent="0.3">
      <c r="A87" s="148"/>
      <c r="B87" s="28" t="s">
        <v>125</v>
      </c>
      <c r="C87" s="28"/>
      <c r="D87" s="186">
        <f>SUM(J87:AC87)</f>
        <v>230605</v>
      </c>
      <c r="E87" s="156">
        <v>0</v>
      </c>
      <c r="F87" s="205">
        <f t="shared" si="26"/>
        <v>230605</v>
      </c>
      <c r="G87" s="261">
        <v>230605</v>
      </c>
      <c r="H87" s="157">
        <f t="shared" si="27"/>
        <v>0</v>
      </c>
      <c r="I87" s="158">
        <f t="shared" si="28"/>
        <v>1</v>
      </c>
      <c r="J87" s="168">
        <v>230605</v>
      </c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0"/>
      <c r="AE87" s="11"/>
      <c r="AF87" s="11"/>
    </row>
    <row r="88" spans="1:40" s="9" customFormat="1" x14ac:dyDescent="0.3">
      <c r="A88" s="148" t="s">
        <v>31</v>
      </c>
      <c r="B88" s="28" t="s">
        <v>63</v>
      </c>
      <c r="C88" s="28"/>
      <c r="D88" s="186">
        <f>SUM(J88:AC88)</f>
        <v>101073</v>
      </c>
      <c r="E88" s="156">
        <v>567643</v>
      </c>
      <c r="F88" s="205">
        <f t="shared" si="26"/>
        <v>-466570</v>
      </c>
      <c r="G88" s="261">
        <v>147393</v>
      </c>
      <c r="H88" s="157">
        <f t="shared" si="27"/>
        <v>-46320</v>
      </c>
      <c r="I88" s="158">
        <f t="shared" si="28"/>
        <v>0.68573812867639572</v>
      </c>
      <c r="J88" s="168">
        <f>81073+20000</f>
        <v>101073</v>
      </c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0"/>
      <c r="AE88" s="11"/>
      <c r="AF88" s="11"/>
    </row>
    <row r="89" spans="1:40" ht="12" customHeight="1" x14ac:dyDescent="0.3">
      <c r="A89" s="28"/>
      <c r="B89" s="32"/>
      <c r="C89" s="28"/>
      <c r="D89" s="186"/>
      <c r="E89" s="156"/>
      <c r="F89" s="156"/>
      <c r="G89" s="261"/>
      <c r="H89" s="156"/>
      <c r="I89" s="159"/>
      <c r="J89" s="168"/>
      <c r="K89" s="14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</row>
    <row r="90" spans="1:40" s="9" customFormat="1" ht="16.2" thickBot="1" x14ac:dyDescent="0.35">
      <c r="A90" s="66" t="s">
        <v>239</v>
      </c>
      <c r="B90" s="66"/>
      <c r="C90" s="66"/>
      <c r="D90" s="189">
        <f>SUM(D73:D89)</f>
        <v>2862085.56</v>
      </c>
      <c r="E90" s="97">
        <f t="shared" ref="E90:F90" si="29">SUM(E73:E89)</f>
        <v>3030024</v>
      </c>
      <c r="F90" s="97">
        <f t="shared" si="29"/>
        <v>-167938.44</v>
      </c>
      <c r="G90" s="98">
        <f>SUM(G73:G89)</f>
        <v>3126702</v>
      </c>
      <c r="H90" s="97">
        <f>SUM(H73:H89)</f>
        <v>-264616.44</v>
      </c>
      <c r="I90" s="177">
        <f t="shared" si="28"/>
        <v>0.91536883271894798</v>
      </c>
      <c r="J90" s="178">
        <f t="shared" ref="J90:AC90" si="30">SUM(J73:J89)</f>
        <v>2387018.8200000003</v>
      </c>
      <c r="K90" s="97">
        <f t="shared" si="30"/>
        <v>0</v>
      </c>
      <c r="L90" s="97">
        <f t="shared" si="30"/>
        <v>59335</v>
      </c>
      <c r="M90" s="97">
        <f t="shared" si="30"/>
        <v>65100</v>
      </c>
      <c r="N90" s="97">
        <f t="shared" si="30"/>
        <v>34812</v>
      </c>
      <c r="O90" s="97">
        <f t="shared" si="30"/>
        <v>15125</v>
      </c>
      <c r="P90" s="97">
        <f t="shared" si="30"/>
        <v>125</v>
      </c>
      <c r="Q90" s="97">
        <f t="shared" si="30"/>
        <v>34000</v>
      </c>
      <c r="R90" s="97">
        <f t="shared" si="30"/>
        <v>60000</v>
      </c>
      <c r="S90" s="97">
        <f t="shared" si="30"/>
        <v>0</v>
      </c>
      <c r="T90" s="97">
        <f t="shared" si="30"/>
        <v>119301.48</v>
      </c>
      <c r="U90" s="97">
        <f t="shared" si="30"/>
        <v>47700</v>
      </c>
      <c r="V90" s="97">
        <f t="shared" si="30"/>
        <v>0</v>
      </c>
      <c r="W90" s="97">
        <f t="shared" si="30"/>
        <v>9350</v>
      </c>
      <c r="X90" s="97">
        <f t="shared" si="30"/>
        <v>24631.260000000002</v>
      </c>
      <c r="Y90" s="97">
        <f t="shared" si="30"/>
        <v>5587</v>
      </c>
      <c r="Z90" s="97">
        <f t="shared" si="30"/>
        <v>0</v>
      </c>
      <c r="AA90" s="97">
        <f t="shared" si="30"/>
        <v>0</v>
      </c>
      <c r="AB90" s="97">
        <f t="shared" si="30"/>
        <v>0</v>
      </c>
      <c r="AC90" s="97">
        <f t="shared" si="30"/>
        <v>0</v>
      </c>
      <c r="AD90" s="10"/>
      <c r="AE90" s="11"/>
      <c r="AF90" s="11"/>
    </row>
    <row r="91" spans="1:40" s="20" customFormat="1" ht="10.95" customHeight="1" thickTop="1" x14ac:dyDescent="0.3">
      <c r="A91" s="28"/>
      <c r="B91" s="28"/>
      <c r="C91" s="28"/>
      <c r="D91" s="190"/>
      <c r="E91" s="162"/>
      <c r="F91" s="162"/>
      <c r="G91" s="262"/>
      <c r="H91" s="162"/>
      <c r="I91" s="163"/>
      <c r="J91" s="168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5"/>
      <c r="AE91" s="21"/>
      <c r="AF91" s="21"/>
    </row>
    <row r="92" spans="1:40" s="175" customFormat="1" ht="21" customHeight="1" x14ac:dyDescent="0.3">
      <c r="A92" s="219" t="s">
        <v>64</v>
      </c>
      <c r="B92" s="219"/>
      <c r="C92" s="219"/>
      <c r="D92" s="191"/>
      <c r="E92" s="170"/>
      <c r="F92" s="170"/>
      <c r="G92" s="263"/>
      <c r="H92" s="170"/>
      <c r="I92" s="171"/>
      <c r="J92" s="172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3"/>
      <c r="AE92" s="174"/>
      <c r="AF92" s="174"/>
    </row>
    <row r="93" spans="1:40" x14ac:dyDescent="0.3">
      <c r="A93" s="255" t="s">
        <v>65</v>
      </c>
      <c r="B93" s="32"/>
      <c r="C93" s="28"/>
      <c r="D93" s="188"/>
      <c r="E93" s="157"/>
      <c r="F93" s="157"/>
      <c r="G93" s="262"/>
      <c r="H93" s="157"/>
      <c r="I93" s="161"/>
      <c r="J93" s="168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</row>
    <row r="94" spans="1:40" x14ac:dyDescent="0.3">
      <c r="A94" s="28"/>
      <c r="B94" s="28" t="s">
        <v>259</v>
      </c>
      <c r="C94" s="28"/>
      <c r="D94" s="186">
        <f t="shared" ref="D94:D100" si="31">SUM(J94:AC94)</f>
        <v>950862.77</v>
      </c>
      <c r="E94" s="156">
        <f>980077+3</f>
        <v>980080</v>
      </c>
      <c r="F94" s="82">
        <f t="shared" ref="F94:F99" si="32">D94-E94</f>
        <v>-29217.229999999981</v>
      </c>
      <c r="G94" s="261">
        <v>997500</v>
      </c>
      <c r="H94" s="157">
        <f t="shared" ref="H94:H100" si="33">+D94-G94</f>
        <v>-46637.229999999981</v>
      </c>
      <c r="I94" s="158">
        <f t="shared" ref="I94:I100" si="34">+D94/G94</f>
        <v>0.95324588471177951</v>
      </c>
      <c r="J94" s="168">
        <v>950862.77</v>
      </c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</row>
    <row r="95" spans="1:40" x14ac:dyDescent="0.3">
      <c r="A95" s="28"/>
      <c r="B95" s="28" t="s">
        <v>182</v>
      </c>
      <c r="C95" s="28"/>
      <c r="D95" s="186">
        <f t="shared" si="31"/>
        <v>-48162.49</v>
      </c>
      <c r="E95" s="156">
        <v>0</v>
      </c>
      <c r="F95" s="82">
        <f t="shared" si="32"/>
        <v>-48162.49</v>
      </c>
      <c r="G95" s="261">
        <v>0</v>
      </c>
      <c r="H95" s="157">
        <f t="shared" si="33"/>
        <v>-48162.49</v>
      </c>
      <c r="I95" s="158" t="s">
        <v>129</v>
      </c>
      <c r="J95" s="168">
        <v>-48162.49</v>
      </c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</row>
    <row r="96" spans="1:40" x14ac:dyDescent="0.3">
      <c r="A96" s="28"/>
      <c r="B96" s="28" t="s">
        <v>66</v>
      </c>
      <c r="C96" s="28"/>
      <c r="D96" s="186">
        <f t="shared" si="31"/>
        <v>108871.97</v>
      </c>
      <c r="E96" s="156">
        <v>102804</v>
      </c>
      <c r="F96" s="82">
        <f t="shared" si="32"/>
        <v>6067.9700000000012</v>
      </c>
      <c r="G96" s="261">
        <v>100000</v>
      </c>
      <c r="H96" s="157">
        <f t="shared" si="33"/>
        <v>8871.9700000000012</v>
      </c>
      <c r="I96" s="158">
        <f t="shared" si="34"/>
        <v>1.0887197</v>
      </c>
      <c r="J96" s="168">
        <v>108871.97</v>
      </c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</row>
    <row r="97" spans="1:40" x14ac:dyDescent="0.3">
      <c r="A97" s="28"/>
      <c r="B97" s="28" t="s">
        <v>67</v>
      </c>
      <c r="C97" s="28"/>
      <c r="D97" s="186">
        <f t="shared" si="31"/>
        <v>34830.21</v>
      </c>
      <c r="E97" s="156">
        <v>28637</v>
      </c>
      <c r="F97" s="82">
        <f t="shared" si="32"/>
        <v>6193.2099999999991</v>
      </c>
      <c r="G97" s="261">
        <v>31000</v>
      </c>
      <c r="H97" s="157">
        <f t="shared" si="33"/>
        <v>3830.2099999999991</v>
      </c>
      <c r="I97" s="158">
        <f t="shared" si="34"/>
        <v>1.1235551612903225</v>
      </c>
      <c r="J97" s="168">
        <f>5977.55+28852.66</f>
        <v>34830.21</v>
      </c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</row>
    <row r="98" spans="1:40" x14ac:dyDescent="0.3">
      <c r="A98" s="28"/>
      <c r="B98" s="28" t="s">
        <v>68</v>
      </c>
      <c r="C98" s="28"/>
      <c r="D98" s="186">
        <f t="shared" si="31"/>
        <v>20029.47</v>
      </c>
      <c r="E98" s="156">
        <v>20926</v>
      </c>
      <c r="F98" s="82">
        <f t="shared" si="32"/>
        <v>-896.52999999999884</v>
      </c>
      <c r="G98" s="261">
        <v>25500</v>
      </c>
      <c r="H98" s="157">
        <f t="shared" si="33"/>
        <v>-5470.5299999999988</v>
      </c>
      <c r="I98" s="158">
        <f t="shared" si="34"/>
        <v>0.78546941176470597</v>
      </c>
      <c r="J98" s="168">
        <v>20029.47</v>
      </c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</row>
    <row r="99" spans="1:40" x14ac:dyDescent="0.3">
      <c r="A99" s="28"/>
      <c r="B99" s="28" t="s">
        <v>69</v>
      </c>
      <c r="C99" s="28"/>
      <c r="D99" s="186">
        <f t="shared" si="31"/>
        <v>11168.8</v>
      </c>
      <c r="E99" s="156">
        <v>12990</v>
      </c>
      <c r="F99" s="82">
        <f t="shared" si="32"/>
        <v>-1821.2000000000007</v>
      </c>
      <c r="G99" s="261">
        <v>6500</v>
      </c>
      <c r="H99" s="157">
        <f t="shared" si="33"/>
        <v>4668.7999999999993</v>
      </c>
      <c r="I99" s="158">
        <f t="shared" si="34"/>
        <v>1.718276923076923</v>
      </c>
      <c r="J99" s="168" t="s">
        <v>31</v>
      </c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>
        <v>11168.8</v>
      </c>
      <c r="Y99" s="157"/>
      <c r="Z99" s="157"/>
      <c r="AA99" s="157"/>
      <c r="AB99" s="157"/>
      <c r="AC99" s="157"/>
    </row>
    <row r="100" spans="1:40" hidden="1" x14ac:dyDescent="0.3">
      <c r="A100" s="28"/>
      <c r="B100" s="32" t="s">
        <v>184</v>
      </c>
      <c r="C100" s="28"/>
      <c r="D100" s="186">
        <f t="shared" si="31"/>
        <v>0</v>
      </c>
      <c r="E100" s="156"/>
      <c r="F100" s="156"/>
      <c r="G100" s="261">
        <v>0</v>
      </c>
      <c r="H100" s="157">
        <f t="shared" si="33"/>
        <v>0</v>
      </c>
      <c r="I100" s="158" t="e">
        <f t="shared" si="34"/>
        <v>#DIV/0!</v>
      </c>
      <c r="J100" s="168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</row>
    <row r="101" spans="1:40" ht="10.95" customHeight="1" x14ac:dyDescent="0.3">
      <c r="A101" s="28"/>
      <c r="B101" s="32"/>
      <c r="C101" s="28"/>
      <c r="D101" s="188"/>
      <c r="E101" s="157"/>
      <c r="F101" s="157"/>
      <c r="G101" s="262"/>
      <c r="H101" s="157"/>
      <c r="I101" s="161"/>
      <c r="J101" s="168" t="s">
        <v>31</v>
      </c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</row>
    <row r="102" spans="1:40" x14ac:dyDescent="0.3">
      <c r="A102" s="255" t="s">
        <v>70</v>
      </c>
      <c r="B102" s="32"/>
      <c r="C102" s="28"/>
      <c r="D102" s="188"/>
      <c r="E102" s="157"/>
      <c r="F102" s="157"/>
      <c r="G102" s="262"/>
      <c r="H102" s="157"/>
      <c r="I102" s="161"/>
      <c r="J102" s="168" t="s">
        <v>31</v>
      </c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</row>
    <row r="103" spans="1:40" s="2" customFormat="1" x14ac:dyDescent="0.3">
      <c r="A103" s="28"/>
      <c r="B103" s="28" t="s">
        <v>71</v>
      </c>
      <c r="C103" s="28"/>
      <c r="D103" s="186">
        <f>SUM(J103:AC103)</f>
        <v>634164.45999999985</v>
      </c>
      <c r="E103" s="156">
        <v>646734</v>
      </c>
      <c r="F103" s="82">
        <f t="shared" ref="F103:F106" si="35">D103-E103</f>
        <v>-12569.540000000154</v>
      </c>
      <c r="G103" s="261">
        <v>606615</v>
      </c>
      <c r="H103" s="157">
        <f t="shared" ref="H103:H106" si="36">+D103-G103</f>
        <v>27549.459999999846</v>
      </c>
      <c r="I103" s="158">
        <f t="shared" ref="I103:I106" si="37">+D103/G103</f>
        <v>1.0454150655687706</v>
      </c>
      <c r="J103" s="168" t="s">
        <v>31</v>
      </c>
      <c r="K103" s="157"/>
      <c r="L103" s="157">
        <f>66360-660</f>
        <v>65700</v>
      </c>
      <c r="M103" s="157">
        <f>67141.92-660</f>
        <v>66481.919999999998</v>
      </c>
      <c r="N103" s="157"/>
      <c r="O103" s="157">
        <f>58650.27-660</f>
        <v>57990.27</v>
      </c>
      <c r="P103" s="157">
        <f>116530.01-660</f>
        <v>115870.01</v>
      </c>
      <c r="Q103" s="157" t="s">
        <v>31</v>
      </c>
      <c r="R103" s="157"/>
      <c r="S103" s="157">
        <f>38288.04-330</f>
        <v>37958.04</v>
      </c>
      <c r="T103" s="157"/>
      <c r="U103" s="157"/>
      <c r="V103" s="157"/>
      <c r="W103" s="157"/>
      <c r="X103" s="157">
        <v>8846.0499999999993</v>
      </c>
      <c r="Y103" s="157">
        <v>41940.43</v>
      </c>
      <c r="Z103" s="157">
        <f>144463.87-660-660</f>
        <v>143143.87</v>
      </c>
      <c r="AA103" s="157">
        <f>77302.5-172.64-990</f>
        <v>76139.86</v>
      </c>
      <c r="AB103" s="157">
        <v>20094.009999999998</v>
      </c>
      <c r="AC103" s="157"/>
      <c r="AE103" s="3"/>
      <c r="AF103" s="3"/>
      <c r="AG103" s="1"/>
      <c r="AH103" s="1"/>
      <c r="AI103" s="1"/>
      <c r="AJ103" s="1"/>
      <c r="AK103" s="1"/>
      <c r="AL103" s="1"/>
      <c r="AM103" s="1"/>
      <c r="AN103" s="1"/>
    </row>
    <row r="104" spans="1:40" s="2" customFormat="1" x14ac:dyDescent="0.3">
      <c r="A104" s="28"/>
      <c r="B104" s="28" t="s">
        <v>73</v>
      </c>
      <c r="C104" s="28"/>
      <c r="D104" s="186">
        <f>SUM(J104:AC104)</f>
        <v>218876.61</v>
      </c>
      <c r="E104" s="156">
        <v>221814</v>
      </c>
      <c r="F104" s="82">
        <f t="shared" si="35"/>
        <v>-2937.390000000014</v>
      </c>
      <c r="G104" s="261">
        <v>235312</v>
      </c>
      <c r="H104" s="157">
        <f t="shared" si="36"/>
        <v>-16435.390000000014</v>
      </c>
      <c r="I104" s="158">
        <f t="shared" si="37"/>
        <v>0.9301549007275447</v>
      </c>
      <c r="J104" s="168" t="s">
        <v>31</v>
      </c>
      <c r="K104" s="157"/>
      <c r="L104" s="157">
        <f>5375.11+17443.86</f>
        <v>22818.97</v>
      </c>
      <c r="M104" s="157">
        <f>5068.24+22426.48</f>
        <v>27494.720000000001</v>
      </c>
      <c r="N104" s="157"/>
      <c r="O104" s="157">
        <f>1064.08+30564.62</f>
        <v>31628.699999999997</v>
      </c>
      <c r="P104" s="157">
        <f>8861.83+11417.01</f>
        <v>20278.84</v>
      </c>
      <c r="Q104" s="157" t="s">
        <v>31</v>
      </c>
      <c r="R104" s="157"/>
      <c r="S104" s="157">
        <f>225.42+10410.59</f>
        <v>10636.01</v>
      </c>
      <c r="T104" s="157"/>
      <c r="U104" s="157"/>
      <c r="V104" s="157"/>
      <c r="W104" s="157"/>
      <c r="X104" s="157">
        <f>482.94+5273.07</f>
        <v>5756.0099999999993</v>
      </c>
      <c r="Y104" s="157">
        <f>726.36+5744.92+2388.09</f>
        <v>8859.369999999999</v>
      </c>
      <c r="Z104" s="157">
        <f>3402.5+47635.36</f>
        <v>51037.86</v>
      </c>
      <c r="AA104" s="157">
        <f>5869.35+30647.54</f>
        <v>36516.89</v>
      </c>
      <c r="AB104" s="157">
        <f>726.06+3123.18</f>
        <v>3849.24</v>
      </c>
      <c r="AC104" s="157"/>
      <c r="AE104" s="3"/>
      <c r="AF104" s="3"/>
      <c r="AG104" s="1"/>
      <c r="AH104" s="1"/>
      <c r="AI104" s="1"/>
      <c r="AJ104" s="1"/>
      <c r="AK104" s="1"/>
      <c r="AL104" s="1"/>
      <c r="AM104" s="1"/>
      <c r="AN104" s="1"/>
    </row>
    <row r="105" spans="1:40" s="2" customFormat="1" x14ac:dyDescent="0.3">
      <c r="A105" s="28" t="s">
        <v>31</v>
      </c>
      <c r="B105" s="28" t="s">
        <v>72</v>
      </c>
      <c r="C105" s="28"/>
      <c r="D105" s="186">
        <f>SUM(J105:AC105)</f>
        <v>136457.03999999998</v>
      </c>
      <c r="E105" s="156">
        <v>175825</v>
      </c>
      <c r="F105" s="82">
        <f t="shared" si="35"/>
        <v>-39367.960000000021</v>
      </c>
      <c r="G105" s="261">
        <v>133098</v>
      </c>
      <c r="H105" s="157">
        <f t="shared" si="36"/>
        <v>3359.039999999979</v>
      </c>
      <c r="I105" s="158">
        <f t="shared" si="37"/>
        <v>1.0252373439120046</v>
      </c>
      <c r="J105" s="168" t="s">
        <v>31</v>
      </c>
      <c r="K105" s="157"/>
      <c r="L105" s="157"/>
      <c r="M105" s="157"/>
      <c r="N105" s="157" t="s">
        <v>174</v>
      </c>
      <c r="O105" s="157" t="s">
        <v>174</v>
      </c>
      <c r="P105" s="157"/>
      <c r="Q105" s="157"/>
      <c r="R105" s="157">
        <v>68000.039999999994</v>
      </c>
      <c r="S105" s="157" t="s">
        <v>31</v>
      </c>
      <c r="T105" s="157"/>
      <c r="U105" s="157"/>
      <c r="V105" s="157">
        <v>10000</v>
      </c>
      <c r="W105" s="157"/>
      <c r="X105" s="157"/>
      <c r="Y105" s="157">
        <f>52870+5587</f>
        <v>58457</v>
      </c>
      <c r="Z105" s="157"/>
      <c r="AA105" s="157" t="s">
        <v>31</v>
      </c>
      <c r="AB105" s="157"/>
      <c r="AC105" s="157"/>
      <c r="AE105" s="3"/>
      <c r="AF105" s="3"/>
      <c r="AG105" s="1"/>
      <c r="AH105" s="1"/>
      <c r="AI105" s="1"/>
      <c r="AJ105" s="1"/>
      <c r="AK105" s="1"/>
      <c r="AL105" s="1"/>
      <c r="AM105" s="1"/>
      <c r="AN105" s="1"/>
    </row>
    <row r="106" spans="1:40" s="2" customFormat="1" x14ac:dyDescent="0.3">
      <c r="A106" s="28"/>
      <c r="B106" s="28" t="s">
        <v>74</v>
      </c>
      <c r="C106" s="28"/>
      <c r="D106" s="186">
        <f>SUM(J106:AC106)</f>
        <v>5280</v>
      </c>
      <c r="E106" s="156">
        <v>17061</v>
      </c>
      <c r="F106" s="82">
        <f t="shared" si="35"/>
        <v>-11781</v>
      </c>
      <c r="G106" s="261">
        <v>5314</v>
      </c>
      <c r="H106" s="157">
        <f t="shared" si="36"/>
        <v>-34</v>
      </c>
      <c r="I106" s="158">
        <f t="shared" si="37"/>
        <v>0.9936018065487392</v>
      </c>
      <c r="J106" s="168" t="s">
        <v>31</v>
      </c>
      <c r="K106" s="157"/>
      <c r="L106" s="157">
        <v>660</v>
      </c>
      <c r="M106" s="157">
        <v>660</v>
      </c>
      <c r="N106" s="157"/>
      <c r="O106" s="157">
        <v>660</v>
      </c>
      <c r="P106" s="157">
        <v>660</v>
      </c>
      <c r="Q106" s="157"/>
      <c r="R106" s="157"/>
      <c r="S106" s="157">
        <v>330</v>
      </c>
      <c r="T106" s="157"/>
      <c r="U106" s="157"/>
      <c r="V106" s="157"/>
      <c r="W106" s="157"/>
      <c r="X106" s="157"/>
      <c r="Y106" s="157"/>
      <c r="Z106" s="157">
        <f>660+660</f>
        <v>1320</v>
      </c>
      <c r="AA106" s="157">
        <f>330+660</f>
        <v>990</v>
      </c>
      <c r="AB106" s="157"/>
      <c r="AC106" s="157"/>
      <c r="AE106" s="3"/>
      <c r="AF106" s="3"/>
      <c r="AG106" s="1"/>
      <c r="AH106" s="1"/>
      <c r="AI106" s="1"/>
      <c r="AJ106" s="1"/>
      <c r="AK106" s="1"/>
      <c r="AL106" s="1"/>
      <c r="AM106" s="1"/>
      <c r="AN106" s="1"/>
    </row>
    <row r="107" spans="1:40" s="2" customFormat="1" ht="10.95" customHeight="1" x14ac:dyDescent="0.3">
      <c r="A107" s="28"/>
      <c r="B107" s="32"/>
      <c r="C107" s="28"/>
      <c r="D107" s="188"/>
      <c r="E107" s="157"/>
      <c r="F107" s="157"/>
      <c r="G107" s="262"/>
      <c r="H107" s="157"/>
      <c r="I107" s="161"/>
      <c r="J107" s="168" t="s">
        <v>31</v>
      </c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E107" s="3"/>
      <c r="AF107" s="3"/>
      <c r="AG107" s="1"/>
      <c r="AH107" s="1"/>
      <c r="AI107" s="1"/>
      <c r="AJ107" s="1"/>
      <c r="AK107" s="1"/>
      <c r="AL107" s="1"/>
      <c r="AM107" s="1"/>
      <c r="AN107" s="1"/>
    </row>
    <row r="108" spans="1:40" s="2" customFormat="1" x14ac:dyDescent="0.3">
      <c r="A108" s="255" t="s">
        <v>75</v>
      </c>
      <c r="B108" s="32"/>
      <c r="C108" s="28"/>
      <c r="D108" s="188"/>
      <c r="E108" s="157"/>
      <c r="F108" s="157"/>
      <c r="G108" s="262"/>
      <c r="H108" s="157"/>
      <c r="I108" s="161"/>
      <c r="J108" s="168" t="s">
        <v>31</v>
      </c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E108" s="3"/>
      <c r="AF108" s="3"/>
      <c r="AG108" s="1"/>
      <c r="AH108" s="1"/>
      <c r="AI108" s="1"/>
      <c r="AJ108" s="1"/>
      <c r="AK108" s="1"/>
      <c r="AL108" s="1"/>
      <c r="AM108" s="1"/>
      <c r="AN108" s="1"/>
    </row>
    <row r="109" spans="1:40" s="2" customFormat="1" hidden="1" x14ac:dyDescent="0.3">
      <c r="A109" s="28"/>
      <c r="B109" s="32" t="s">
        <v>156</v>
      </c>
      <c r="C109" s="28"/>
      <c r="D109" s="186">
        <f t="shared" ref="D109:D119" si="38">SUM(J109:AC109)</f>
        <v>0</v>
      </c>
      <c r="E109" s="156"/>
      <c r="F109" s="156"/>
      <c r="G109" s="261"/>
      <c r="H109" s="156"/>
      <c r="I109" s="159"/>
      <c r="J109" s="168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E109" s="3"/>
      <c r="AF109" s="3"/>
      <c r="AG109" s="1"/>
      <c r="AH109" s="1"/>
      <c r="AI109" s="1"/>
      <c r="AJ109" s="1"/>
      <c r="AK109" s="1"/>
      <c r="AL109" s="1"/>
      <c r="AM109" s="1"/>
      <c r="AN109" s="1"/>
    </row>
    <row r="110" spans="1:40" s="2" customFormat="1" x14ac:dyDescent="0.3">
      <c r="A110" s="28"/>
      <c r="B110" s="28" t="s">
        <v>76</v>
      </c>
      <c r="C110" s="28"/>
      <c r="D110" s="186">
        <f t="shared" si="38"/>
        <v>18500</v>
      </c>
      <c r="E110" s="156">
        <v>16500</v>
      </c>
      <c r="F110" s="82">
        <f t="shared" ref="F110:F119" si="39">D110-E110</f>
        <v>2000</v>
      </c>
      <c r="G110" s="261">
        <v>18000</v>
      </c>
      <c r="H110" s="157">
        <f t="shared" ref="H110:H119" si="40">+D110-G110</f>
        <v>500</v>
      </c>
      <c r="I110" s="158">
        <f t="shared" ref="I110:I119" si="41">+D110/G110</f>
        <v>1.0277777777777777</v>
      </c>
      <c r="J110" s="168" t="s">
        <v>31</v>
      </c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>
        <v>18500</v>
      </c>
      <c r="AB110" s="157"/>
      <c r="AC110" s="157"/>
      <c r="AE110" s="3"/>
      <c r="AF110" s="3"/>
      <c r="AG110" s="1"/>
      <c r="AH110" s="1"/>
      <c r="AI110" s="1"/>
      <c r="AJ110" s="1"/>
      <c r="AK110" s="1"/>
      <c r="AL110" s="1"/>
      <c r="AM110" s="1"/>
      <c r="AN110" s="1"/>
    </row>
    <row r="111" spans="1:40" x14ac:dyDescent="0.3">
      <c r="A111" s="28"/>
      <c r="B111" s="28" t="s">
        <v>77</v>
      </c>
      <c r="C111" s="28"/>
      <c r="D111" s="186">
        <f t="shared" si="38"/>
        <v>12809.140000000001</v>
      </c>
      <c r="E111" s="156">
        <v>13770</v>
      </c>
      <c r="F111" s="82">
        <f t="shared" si="39"/>
        <v>-960.85999999999876</v>
      </c>
      <c r="G111" s="261">
        <v>18076</v>
      </c>
      <c r="H111" s="157">
        <f t="shared" si="40"/>
        <v>-5266.8599999999988</v>
      </c>
      <c r="I111" s="158">
        <f t="shared" si="41"/>
        <v>0.70862690860809918</v>
      </c>
      <c r="J111" s="168" t="s">
        <v>31</v>
      </c>
      <c r="K111" s="157"/>
      <c r="L111" s="157">
        <v>194</v>
      </c>
      <c r="M111" s="157">
        <v>217.6</v>
      </c>
      <c r="N111" s="157"/>
      <c r="O111" s="157"/>
      <c r="P111" s="157">
        <v>32.54</v>
      </c>
      <c r="Q111" s="157"/>
      <c r="R111" s="157"/>
      <c r="S111" s="157">
        <v>343.8</v>
      </c>
      <c r="T111" s="157"/>
      <c r="U111" s="157"/>
      <c r="V111" s="157">
        <v>500</v>
      </c>
      <c r="W111" s="157"/>
      <c r="X111" s="157"/>
      <c r="Y111" s="157"/>
      <c r="Z111" s="157">
        <f>246.76+19.99</f>
        <v>266.75</v>
      </c>
      <c r="AA111" s="157">
        <v>9280.61</v>
      </c>
      <c r="AB111" s="157">
        <v>1973.84</v>
      </c>
      <c r="AC111" s="157"/>
    </row>
    <row r="112" spans="1:40" s="2" customFormat="1" x14ac:dyDescent="0.3">
      <c r="A112" s="28"/>
      <c r="B112" s="28" t="s">
        <v>190</v>
      </c>
      <c r="C112" s="28"/>
      <c r="D112" s="186">
        <f t="shared" si="38"/>
        <v>10442.19</v>
      </c>
      <c r="E112" s="156">
        <f>14390-5044</f>
        <v>9346</v>
      </c>
      <c r="F112" s="82">
        <f t="shared" si="39"/>
        <v>1096.1900000000005</v>
      </c>
      <c r="G112" s="261">
        <v>17976</v>
      </c>
      <c r="H112" s="157">
        <f t="shared" si="40"/>
        <v>-7533.8099999999995</v>
      </c>
      <c r="I112" s="158">
        <f t="shared" si="41"/>
        <v>0.58089619492656874</v>
      </c>
      <c r="J112" s="168" t="s">
        <v>31</v>
      </c>
      <c r="K112" s="157"/>
      <c r="L112" s="157"/>
      <c r="M112" s="157"/>
      <c r="N112" s="157"/>
      <c r="O112" s="157">
        <v>9973</v>
      </c>
      <c r="P112" s="157"/>
      <c r="Q112" s="157"/>
      <c r="R112" s="157"/>
      <c r="S112" s="157"/>
      <c r="T112" s="157"/>
      <c r="U112" s="157"/>
      <c r="V112" s="157"/>
      <c r="W112" s="157"/>
      <c r="X112" s="157"/>
      <c r="Y112" s="157">
        <v>469.19</v>
      </c>
      <c r="Z112" s="157" t="s">
        <v>31</v>
      </c>
      <c r="AA112" s="157" t="s">
        <v>31</v>
      </c>
      <c r="AB112" s="157"/>
      <c r="AC112" s="157" t="s">
        <v>31</v>
      </c>
      <c r="AE112" s="3"/>
      <c r="AF112" s="3"/>
      <c r="AG112" s="1"/>
      <c r="AH112" s="1"/>
      <c r="AI112" s="1"/>
      <c r="AJ112" s="1"/>
      <c r="AK112" s="1"/>
      <c r="AL112" s="1"/>
      <c r="AM112" s="1"/>
      <c r="AN112" s="1"/>
    </row>
    <row r="113" spans="1:40" s="2" customFormat="1" x14ac:dyDescent="0.3">
      <c r="A113" s="28"/>
      <c r="B113" s="28" t="s">
        <v>183</v>
      </c>
      <c r="C113" s="28"/>
      <c r="D113" s="186">
        <f t="shared" si="38"/>
        <v>5836.5</v>
      </c>
      <c r="E113" s="156">
        <v>0</v>
      </c>
      <c r="F113" s="82">
        <f t="shared" si="39"/>
        <v>5836.5</v>
      </c>
      <c r="G113" s="261">
        <v>600</v>
      </c>
      <c r="H113" s="157">
        <f t="shared" si="40"/>
        <v>5236.5</v>
      </c>
      <c r="I113" s="158">
        <f t="shared" si="41"/>
        <v>9.7274999999999991</v>
      </c>
      <c r="J113" s="168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>
        <v>649</v>
      </c>
      <c r="Z113" s="157">
        <v>5187.5</v>
      </c>
      <c r="AA113" s="157"/>
      <c r="AB113" s="157"/>
      <c r="AC113" s="157"/>
      <c r="AE113" s="3"/>
      <c r="AF113" s="3"/>
      <c r="AG113" s="1"/>
      <c r="AH113" s="1"/>
      <c r="AI113" s="1"/>
      <c r="AJ113" s="1"/>
      <c r="AK113" s="1"/>
      <c r="AL113" s="1"/>
      <c r="AM113" s="1"/>
      <c r="AN113" s="1"/>
    </row>
    <row r="114" spans="1:40" s="2" customFormat="1" x14ac:dyDescent="0.3">
      <c r="A114" s="28"/>
      <c r="B114" s="28" t="s">
        <v>127</v>
      </c>
      <c r="C114" s="28"/>
      <c r="D114" s="186">
        <f t="shared" si="38"/>
        <v>3928.5</v>
      </c>
      <c r="E114" s="156">
        <v>5044</v>
      </c>
      <c r="F114" s="82">
        <f t="shared" si="39"/>
        <v>-1115.5</v>
      </c>
      <c r="G114" s="261">
        <v>5390</v>
      </c>
      <c r="H114" s="157">
        <f t="shared" si="40"/>
        <v>-1461.5</v>
      </c>
      <c r="I114" s="158">
        <f t="shared" si="41"/>
        <v>0.72884972170686457</v>
      </c>
      <c r="J114" s="168"/>
      <c r="K114" s="157"/>
      <c r="L114" s="157"/>
      <c r="M114" s="157"/>
      <c r="N114" s="157"/>
      <c r="O114" s="157">
        <v>2884.5</v>
      </c>
      <c r="P114" s="157"/>
      <c r="Q114" s="157"/>
      <c r="R114" s="157"/>
      <c r="S114" s="157"/>
      <c r="T114" s="157"/>
      <c r="U114" s="157"/>
      <c r="V114" s="157"/>
      <c r="W114" s="157"/>
      <c r="X114" s="157"/>
      <c r="Y114" s="157">
        <v>360</v>
      </c>
      <c r="Z114" s="157">
        <v>324</v>
      </c>
      <c r="AA114" s="157"/>
      <c r="AB114" s="157"/>
      <c r="AC114" s="157">
        <v>360</v>
      </c>
      <c r="AE114" s="3"/>
      <c r="AF114" s="3"/>
      <c r="AG114" s="1"/>
      <c r="AH114" s="1"/>
      <c r="AI114" s="1"/>
      <c r="AJ114" s="1"/>
      <c r="AK114" s="1"/>
      <c r="AL114" s="1"/>
      <c r="AM114" s="1"/>
      <c r="AN114" s="1"/>
    </row>
    <row r="115" spans="1:40" s="2" customFormat="1" hidden="1" x14ac:dyDescent="0.3">
      <c r="A115" s="28"/>
      <c r="B115" s="28" t="s">
        <v>206</v>
      </c>
      <c r="C115" s="28"/>
      <c r="D115" s="186">
        <f t="shared" si="38"/>
        <v>0</v>
      </c>
      <c r="E115" s="156"/>
      <c r="F115" s="82">
        <f t="shared" si="39"/>
        <v>0</v>
      </c>
      <c r="G115" s="261"/>
      <c r="H115" s="157">
        <f t="shared" si="40"/>
        <v>0</v>
      </c>
      <c r="I115" s="158" t="e">
        <f t="shared" si="41"/>
        <v>#DIV/0!</v>
      </c>
      <c r="J115" s="168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E115" s="3"/>
      <c r="AF115" s="3"/>
      <c r="AG115" s="1"/>
      <c r="AH115" s="1"/>
      <c r="AI115" s="1"/>
      <c r="AJ115" s="1"/>
      <c r="AK115" s="1"/>
      <c r="AL115" s="1"/>
      <c r="AM115" s="1"/>
      <c r="AN115" s="1"/>
    </row>
    <row r="116" spans="1:40" s="2" customFormat="1" x14ac:dyDescent="0.3">
      <c r="A116" s="28"/>
      <c r="B116" s="28" t="s">
        <v>80</v>
      </c>
      <c r="C116" s="28"/>
      <c r="D116" s="186">
        <f t="shared" si="38"/>
        <v>1953.6</v>
      </c>
      <c r="E116" s="156">
        <v>1801</v>
      </c>
      <c r="F116" s="82">
        <f t="shared" si="39"/>
        <v>152.59999999999991</v>
      </c>
      <c r="G116" s="261">
        <v>2928</v>
      </c>
      <c r="H116" s="157">
        <f t="shared" si="40"/>
        <v>-974.40000000000009</v>
      </c>
      <c r="I116" s="158">
        <f t="shared" si="41"/>
        <v>0.66721311475409828</v>
      </c>
      <c r="J116" s="168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>
        <v>1953.6</v>
      </c>
      <c r="AB116" s="157"/>
      <c r="AC116" s="157"/>
      <c r="AE116" s="3"/>
      <c r="AF116" s="3"/>
      <c r="AG116" s="1"/>
      <c r="AH116" s="1"/>
      <c r="AI116" s="1"/>
      <c r="AJ116" s="1"/>
      <c r="AK116" s="1"/>
      <c r="AL116" s="1"/>
      <c r="AM116" s="1"/>
      <c r="AN116" s="1"/>
    </row>
    <row r="117" spans="1:40" s="2" customFormat="1" hidden="1" x14ac:dyDescent="0.3">
      <c r="A117" s="28"/>
      <c r="B117" s="28" t="s">
        <v>78</v>
      </c>
      <c r="C117" s="28"/>
      <c r="D117" s="186">
        <f t="shared" si="38"/>
        <v>0</v>
      </c>
      <c r="E117" s="156"/>
      <c r="F117" s="82">
        <f t="shared" si="39"/>
        <v>0</v>
      </c>
      <c r="G117" s="261"/>
      <c r="H117" s="157">
        <f t="shared" si="40"/>
        <v>0</v>
      </c>
      <c r="I117" s="158" t="e">
        <f t="shared" si="41"/>
        <v>#DIV/0!</v>
      </c>
      <c r="J117" s="168" t="s">
        <v>31</v>
      </c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E117" s="3"/>
      <c r="AF117" s="3"/>
      <c r="AG117" s="1"/>
      <c r="AH117" s="1"/>
      <c r="AI117" s="1"/>
      <c r="AJ117" s="1"/>
      <c r="AK117" s="1"/>
      <c r="AL117" s="1"/>
      <c r="AM117" s="1"/>
      <c r="AN117" s="1"/>
    </row>
    <row r="118" spans="1:40" s="2" customFormat="1" hidden="1" x14ac:dyDescent="0.3">
      <c r="A118" s="28"/>
      <c r="B118" s="28" t="s">
        <v>79</v>
      </c>
      <c r="C118" s="28"/>
      <c r="D118" s="186">
        <f t="shared" si="38"/>
        <v>0</v>
      </c>
      <c r="E118" s="156"/>
      <c r="F118" s="82">
        <f t="shared" si="39"/>
        <v>0</v>
      </c>
      <c r="G118" s="261"/>
      <c r="H118" s="157">
        <f t="shared" si="40"/>
        <v>0</v>
      </c>
      <c r="I118" s="158" t="e">
        <f t="shared" si="41"/>
        <v>#DIV/0!</v>
      </c>
      <c r="J118" s="168" t="s">
        <v>31</v>
      </c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 t="s">
        <v>31</v>
      </c>
      <c r="AA118" s="157"/>
      <c r="AB118" s="157"/>
      <c r="AC118" s="157"/>
      <c r="AE118" s="3"/>
      <c r="AF118" s="3"/>
      <c r="AG118" s="1"/>
      <c r="AH118" s="1"/>
      <c r="AI118" s="1"/>
      <c r="AJ118" s="1"/>
      <c r="AK118" s="1"/>
      <c r="AL118" s="1"/>
      <c r="AM118" s="1"/>
      <c r="AN118" s="1"/>
    </row>
    <row r="119" spans="1:40" s="2" customFormat="1" x14ac:dyDescent="0.3">
      <c r="A119" s="28"/>
      <c r="B119" s="28" t="s">
        <v>81</v>
      </c>
      <c r="C119" s="28"/>
      <c r="D119" s="186">
        <f t="shared" si="38"/>
        <v>564.5</v>
      </c>
      <c r="E119" s="156">
        <f>577+840+710</f>
        <v>2127</v>
      </c>
      <c r="F119" s="82">
        <f t="shared" si="39"/>
        <v>-1562.5</v>
      </c>
      <c r="G119" s="261">
        <v>520</v>
      </c>
      <c r="H119" s="157">
        <f t="shared" si="40"/>
        <v>44.5</v>
      </c>
      <c r="I119" s="158">
        <f t="shared" si="41"/>
        <v>1.085576923076923</v>
      </c>
      <c r="J119" s="168" t="s">
        <v>31</v>
      </c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 t="s">
        <v>31</v>
      </c>
      <c r="Y119" s="157"/>
      <c r="Z119" s="157"/>
      <c r="AA119" s="157">
        <f>453.42+111.08</f>
        <v>564.5</v>
      </c>
      <c r="AB119" s="157"/>
      <c r="AC119" s="157"/>
      <c r="AE119" s="3"/>
      <c r="AF119" s="3"/>
      <c r="AG119" s="1"/>
      <c r="AH119" s="1"/>
      <c r="AI119" s="1"/>
      <c r="AJ119" s="1"/>
      <c r="AK119" s="1"/>
      <c r="AL119" s="1"/>
      <c r="AM119" s="1"/>
      <c r="AN119" s="1"/>
    </row>
    <row r="120" spans="1:40" s="2" customFormat="1" ht="10.95" customHeight="1" x14ac:dyDescent="0.3">
      <c r="A120" s="28"/>
      <c r="B120" s="32"/>
      <c r="C120" s="28"/>
      <c r="D120" s="188"/>
      <c r="E120" s="157"/>
      <c r="F120" s="157"/>
      <c r="G120" s="262"/>
      <c r="H120" s="157"/>
      <c r="I120" s="161"/>
      <c r="J120" s="168" t="s">
        <v>31</v>
      </c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 t="s">
        <v>31</v>
      </c>
      <c r="Y120" s="157"/>
      <c r="Z120" s="157"/>
      <c r="AA120" s="157" t="s">
        <v>31</v>
      </c>
      <c r="AB120" s="157"/>
      <c r="AC120" s="157"/>
      <c r="AE120" s="3"/>
      <c r="AF120" s="3"/>
      <c r="AG120" s="1"/>
      <c r="AH120" s="1"/>
      <c r="AI120" s="1"/>
      <c r="AJ120" s="1"/>
      <c r="AK120" s="1"/>
      <c r="AL120" s="1"/>
      <c r="AM120" s="1"/>
      <c r="AN120" s="1"/>
    </row>
    <row r="121" spans="1:40" s="2" customFormat="1" x14ac:dyDescent="0.3">
      <c r="A121" s="255" t="s">
        <v>82</v>
      </c>
      <c r="B121" s="32"/>
      <c r="C121" s="28"/>
      <c r="D121" s="186" t="s">
        <v>31</v>
      </c>
      <c r="E121" s="156"/>
      <c r="F121" s="156"/>
      <c r="G121" s="261"/>
      <c r="H121" s="156"/>
      <c r="I121" s="159"/>
      <c r="J121" s="168" t="s">
        <v>31</v>
      </c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E121" s="3"/>
      <c r="AF121" s="3"/>
      <c r="AG121" s="1"/>
      <c r="AH121" s="1"/>
      <c r="AI121" s="1"/>
      <c r="AJ121" s="1"/>
      <c r="AK121" s="1"/>
      <c r="AL121" s="1"/>
      <c r="AM121" s="1"/>
      <c r="AN121" s="1"/>
    </row>
    <row r="122" spans="1:40" s="2" customFormat="1" x14ac:dyDescent="0.3">
      <c r="A122" s="146"/>
      <c r="B122" s="28" t="s">
        <v>207</v>
      </c>
      <c r="C122" s="28"/>
      <c r="D122" s="186" t="s">
        <v>31</v>
      </c>
      <c r="E122" s="156"/>
      <c r="F122" s="156"/>
      <c r="G122" s="261"/>
      <c r="H122" s="156"/>
      <c r="I122" s="159"/>
      <c r="J122" s="168"/>
      <c r="K122" s="157"/>
      <c r="L122" s="157"/>
      <c r="M122" s="157"/>
      <c r="N122" s="157"/>
      <c r="O122" s="164" t="s">
        <v>177</v>
      </c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E122" s="3"/>
      <c r="AF122" s="3"/>
      <c r="AG122" s="1"/>
      <c r="AH122" s="1"/>
      <c r="AI122" s="1"/>
      <c r="AJ122" s="1"/>
      <c r="AK122" s="1"/>
      <c r="AL122" s="1"/>
      <c r="AM122" s="1"/>
      <c r="AN122" s="1"/>
    </row>
    <row r="123" spans="1:40" s="2" customFormat="1" x14ac:dyDescent="0.3">
      <c r="A123" s="28"/>
      <c r="B123" s="28" t="s">
        <v>143</v>
      </c>
      <c r="C123" s="28"/>
      <c r="D123" s="186">
        <f t="shared" ref="D123:D132" si="42">SUM(J123:AC123)</f>
        <v>47678.55</v>
      </c>
      <c r="E123" s="156">
        <v>117662</v>
      </c>
      <c r="F123" s="82">
        <f t="shared" ref="F123:F144" si="43">D123-E123</f>
        <v>-69983.45</v>
      </c>
      <c r="G123" s="261">
        <v>130000</v>
      </c>
      <c r="H123" s="157">
        <f t="shared" ref="H123:H132" si="44">+D123-G123</f>
        <v>-82321.45</v>
      </c>
      <c r="I123" s="158">
        <f t="shared" ref="I123:I132" si="45">+D123/G123</f>
        <v>0.36675807692307694</v>
      </c>
      <c r="J123" s="168" t="s">
        <v>31</v>
      </c>
      <c r="K123" s="157"/>
      <c r="L123" s="157" t="s">
        <v>31</v>
      </c>
      <c r="M123" s="157"/>
      <c r="N123" s="157"/>
      <c r="O123" s="157" t="s">
        <v>31</v>
      </c>
      <c r="P123" s="157"/>
      <c r="Q123" s="157"/>
      <c r="R123" s="157"/>
      <c r="S123" s="157"/>
      <c r="T123" s="157">
        <v>47678.55</v>
      </c>
      <c r="U123" s="157" t="s">
        <v>31</v>
      </c>
      <c r="V123" s="157"/>
      <c r="W123" s="157"/>
      <c r="X123" s="157"/>
      <c r="Y123" s="157"/>
      <c r="Z123" s="157"/>
      <c r="AA123" s="157"/>
      <c r="AB123" s="157"/>
      <c r="AC123" s="157"/>
      <c r="AE123" s="3"/>
      <c r="AF123" s="3"/>
      <c r="AG123" s="1"/>
      <c r="AH123" s="1"/>
      <c r="AI123" s="1"/>
      <c r="AJ123" s="1"/>
      <c r="AK123" s="1"/>
      <c r="AL123" s="1"/>
      <c r="AM123" s="1"/>
      <c r="AN123" s="1"/>
    </row>
    <row r="124" spans="1:40" s="2" customFormat="1" x14ac:dyDescent="0.3">
      <c r="A124" s="28"/>
      <c r="B124" s="28" t="s">
        <v>149</v>
      </c>
      <c r="C124" s="28"/>
      <c r="D124" s="186">
        <f t="shared" si="42"/>
        <v>16091.68</v>
      </c>
      <c r="E124" s="156">
        <v>0</v>
      </c>
      <c r="F124" s="82">
        <f t="shared" si="43"/>
        <v>16091.68</v>
      </c>
      <c r="G124" s="261">
        <v>20000</v>
      </c>
      <c r="H124" s="157">
        <f t="shared" si="44"/>
        <v>-3908.3199999999997</v>
      </c>
      <c r="I124" s="158">
        <f t="shared" si="45"/>
        <v>0.80458399999999997</v>
      </c>
      <c r="J124" s="168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>
        <v>16091.68</v>
      </c>
      <c r="U124" s="157"/>
      <c r="V124" s="157"/>
      <c r="W124" s="157"/>
      <c r="X124" s="157"/>
      <c r="Y124" s="157"/>
      <c r="Z124" s="157"/>
      <c r="AA124" s="157"/>
      <c r="AB124" s="157"/>
      <c r="AC124" s="157"/>
      <c r="AE124" s="3"/>
      <c r="AF124" s="3"/>
      <c r="AG124" s="1"/>
      <c r="AH124" s="1"/>
      <c r="AI124" s="1"/>
      <c r="AJ124" s="1"/>
      <c r="AK124" s="1"/>
      <c r="AL124" s="1"/>
      <c r="AM124" s="1"/>
      <c r="AN124" s="1"/>
    </row>
    <row r="125" spans="1:40" s="2" customFormat="1" x14ac:dyDescent="0.3">
      <c r="A125" s="28"/>
      <c r="B125" s="28" t="s">
        <v>147</v>
      </c>
      <c r="C125" s="28"/>
      <c r="D125" s="186">
        <f t="shared" si="42"/>
        <v>2910.63</v>
      </c>
      <c r="E125" s="156">
        <v>2622</v>
      </c>
      <c r="F125" s="82">
        <f t="shared" si="43"/>
        <v>288.63000000000011</v>
      </c>
      <c r="G125" s="261">
        <v>2500</v>
      </c>
      <c r="H125" s="157">
        <f t="shared" si="44"/>
        <v>410.63000000000011</v>
      </c>
      <c r="I125" s="158">
        <f t="shared" si="45"/>
        <v>1.1642520000000001</v>
      </c>
      <c r="J125" s="168" t="s">
        <v>31</v>
      </c>
      <c r="K125" s="157"/>
      <c r="L125" s="157"/>
      <c r="M125" s="157"/>
      <c r="N125" s="157"/>
      <c r="O125" s="157"/>
      <c r="P125" s="157"/>
      <c r="Q125" s="157"/>
      <c r="R125" s="157"/>
      <c r="S125" s="157"/>
      <c r="T125" s="157">
        <v>2910.63</v>
      </c>
      <c r="U125" s="157"/>
      <c r="V125" s="157"/>
      <c r="W125" s="157"/>
      <c r="X125" s="157"/>
      <c r="Y125" s="157"/>
      <c r="Z125" s="157"/>
      <c r="AA125" s="157"/>
      <c r="AB125" s="157"/>
      <c r="AC125" s="157"/>
      <c r="AE125" s="3"/>
      <c r="AF125" s="3"/>
      <c r="AG125" s="1"/>
      <c r="AH125" s="1"/>
      <c r="AI125" s="1"/>
      <c r="AJ125" s="1"/>
      <c r="AK125" s="1"/>
      <c r="AL125" s="1"/>
      <c r="AM125" s="1"/>
      <c r="AN125" s="1"/>
    </row>
    <row r="126" spans="1:40" s="2" customFormat="1" x14ac:dyDescent="0.3">
      <c r="A126" s="28"/>
      <c r="B126" s="28" t="s">
        <v>181</v>
      </c>
      <c r="C126" s="28"/>
      <c r="D126" s="186">
        <f t="shared" si="42"/>
        <v>2600</v>
      </c>
      <c r="E126" s="156">
        <v>0</v>
      </c>
      <c r="F126" s="82">
        <f t="shared" si="43"/>
        <v>2600</v>
      </c>
      <c r="G126" s="261">
        <v>5000</v>
      </c>
      <c r="H126" s="157">
        <f t="shared" si="44"/>
        <v>-2400</v>
      </c>
      <c r="I126" s="158">
        <f t="shared" si="45"/>
        <v>0.52</v>
      </c>
      <c r="J126" s="168" t="s">
        <v>31</v>
      </c>
      <c r="K126" s="157"/>
      <c r="L126" s="157"/>
      <c r="M126" s="157"/>
      <c r="N126" s="157"/>
      <c r="O126" s="157" t="s">
        <v>31</v>
      </c>
      <c r="P126" s="157"/>
      <c r="Q126" s="157"/>
      <c r="R126" s="157"/>
      <c r="S126" s="157"/>
      <c r="T126" s="157">
        <f>1200+1400</f>
        <v>2600</v>
      </c>
      <c r="U126" s="157" t="s">
        <v>31</v>
      </c>
      <c r="V126" s="157"/>
      <c r="W126" s="157"/>
      <c r="X126" s="157"/>
      <c r="Y126" s="157"/>
      <c r="Z126" s="157"/>
      <c r="AA126" s="157"/>
      <c r="AB126" s="157"/>
      <c r="AC126" s="157"/>
      <c r="AE126" s="3"/>
      <c r="AF126" s="3"/>
      <c r="AG126" s="1"/>
      <c r="AH126" s="1"/>
      <c r="AI126" s="1"/>
      <c r="AJ126" s="1"/>
      <c r="AK126" s="1"/>
      <c r="AL126" s="1"/>
      <c r="AM126" s="1"/>
      <c r="AN126" s="1"/>
    </row>
    <row r="127" spans="1:40" s="2" customFormat="1" x14ac:dyDescent="0.3">
      <c r="A127" s="28"/>
      <c r="B127" s="28" t="s">
        <v>144</v>
      </c>
      <c r="C127" s="28"/>
      <c r="D127" s="186">
        <f t="shared" si="42"/>
        <v>606.73</v>
      </c>
      <c r="E127" s="156">
        <v>1532</v>
      </c>
      <c r="F127" s="82">
        <f t="shared" si="43"/>
        <v>-925.27</v>
      </c>
      <c r="G127" s="261">
        <v>0</v>
      </c>
      <c r="H127" s="157">
        <f t="shared" si="44"/>
        <v>606.73</v>
      </c>
      <c r="I127" s="158" t="s">
        <v>129</v>
      </c>
      <c r="J127" s="168" t="s">
        <v>31</v>
      </c>
      <c r="K127" s="157"/>
      <c r="L127" s="157"/>
      <c r="M127" s="157"/>
      <c r="N127" s="157"/>
      <c r="O127" s="157"/>
      <c r="P127" s="157"/>
      <c r="Q127" s="157"/>
      <c r="R127" s="157"/>
      <c r="S127" s="157"/>
      <c r="T127" s="157">
        <v>606.73</v>
      </c>
      <c r="U127" s="157"/>
      <c r="V127" s="157"/>
      <c r="W127" s="157"/>
      <c r="X127" s="157"/>
      <c r="Y127" s="157"/>
      <c r="Z127" s="157"/>
      <c r="AA127" s="157"/>
      <c r="AB127" s="157"/>
      <c r="AC127" s="157"/>
      <c r="AE127" s="3"/>
      <c r="AF127" s="3"/>
      <c r="AG127" s="1"/>
      <c r="AH127" s="1"/>
      <c r="AI127" s="1"/>
      <c r="AJ127" s="1"/>
      <c r="AK127" s="1"/>
      <c r="AL127" s="1"/>
      <c r="AM127" s="1"/>
      <c r="AN127" s="1"/>
    </row>
    <row r="128" spans="1:40" s="2" customFormat="1" x14ac:dyDescent="0.3">
      <c r="A128" s="28"/>
      <c r="B128" s="28" t="s">
        <v>146</v>
      </c>
      <c r="C128" s="28"/>
      <c r="D128" s="186">
        <f t="shared" si="42"/>
        <v>443.36</v>
      </c>
      <c r="E128" s="156">
        <v>2900</v>
      </c>
      <c r="F128" s="82">
        <f t="shared" si="43"/>
        <v>-2456.64</v>
      </c>
      <c r="G128" s="261">
        <v>0</v>
      </c>
      <c r="H128" s="157">
        <f t="shared" si="44"/>
        <v>443.36</v>
      </c>
      <c r="I128" s="158" t="s">
        <v>129</v>
      </c>
      <c r="J128" s="168" t="s">
        <v>31</v>
      </c>
      <c r="K128" s="157"/>
      <c r="L128" s="157"/>
      <c r="M128" s="157"/>
      <c r="N128" s="157"/>
      <c r="O128" s="157"/>
      <c r="P128" s="157"/>
      <c r="Q128" s="157"/>
      <c r="R128" s="157"/>
      <c r="S128" s="157"/>
      <c r="T128" s="157">
        <v>443.36</v>
      </c>
      <c r="U128" s="157"/>
      <c r="V128" s="157"/>
      <c r="W128" s="157"/>
      <c r="X128" s="157"/>
      <c r="Y128" s="157"/>
      <c r="Z128" s="157"/>
      <c r="AA128" s="157"/>
      <c r="AB128" s="157"/>
      <c r="AC128" s="157"/>
      <c r="AE128" s="3"/>
      <c r="AF128" s="3"/>
      <c r="AG128" s="1"/>
      <c r="AH128" s="1"/>
      <c r="AI128" s="1"/>
      <c r="AJ128" s="1"/>
      <c r="AK128" s="1"/>
      <c r="AL128" s="1"/>
      <c r="AM128" s="1"/>
      <c r="AN128" s="1"/>
    </row>
    <row r="129" spans="1:40" s="2" customFormat="1" x14ac:dyDescent="0.3">
      <c r="A129" s="28"/>
      <c r="B129" s="28" t="s">
        <v>159</v>
      </c>
      <c r="C129" s="28"/>
      <c r="D129" s="186">
        <f t="shared" si="42"/>
        <v>398.53</v>
      </c>
      <c r="E129" s="156">
        <v>0</v>
      </c>
      <c r="F129" s="82">
        <f t="shared" si="43"/>
        <v>398.53</v>
      </c>
      <c r="G129" s="261">
        <v>0</v>
      </c>
      <c r="H129" s="157">
        <f t="shared" si="44"/>
        <v>398.53</v>
      </c>
      <c r="I129" s="158" t="s">
        <v>129</v>
      </c>
      <c r="J129" s="168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>
        <v>398.53</v>
      </c>
      <c r="U129" s="157"/>
      <c r="V129" s="157"/>
      <c r="W129" s="157"/>
      <c r="X129" s="157"/>
      <c r="Y129" s="157"/>
      <c r="Z129" s="157"/>
      <c r="AA129" s="157"/>
      <c r="AB129" s="157"/>
      <c r="AC129" s="157"/>
      <c r="AE129" s="3"/>
      <c r="AF129" s="3"/>
      <c r="AG129" s="1"/>
      <c r="AH129" s="1"/>
      <c r="AI129" s="1"/>
      <c r="AJ129" s="1"/>
      <c r="AK129" s="1"/>
      <c r="AL129" s="1"/>
      <c r="AM129" s="1"/>
      <c r="AN129" s="1"/>
    </row>
    <row r="130" spans="1:40" s="2" customFormat="1" x14ac:dyDescent="0.3">
      <c r="A130" s="28"/>
      <c r="B130" s="28" t="s">
        <v>145</v>
      </c>
      <c r="C130" s="28"/>
      <c r="D130" s="186">
        <f t="shared" si="42"/>
        <v>0</v>
      </c>
      <c r="E130" s="156">
        <v>5123.43</v>
      </c>
      <c r="F130" s="82">
        <f t="shared" si="43"/>
        <v>-5123.43</v>
      </c>
      <c r="G130" s="261">
        <v>6000</v>
      </c>
      <c r="H130" s="157">
        <f t="shared" si="44"/>
        <v>-6000</v>
      </c>
      <c r="I130" s="158">
        <f t="shared" si="45"/>
        <v>0</v>
      </c>
      <c r="J130" s="168" t="s">
        <v>31</v>
      </c>
      <c r="K130" s="157"/>
      <c r="L130" s="157"/>
      <c r="M130" s="157"/>
      <c r="N130" s="157"/>
      <c r="O130" s="157"/>
      <c r="P130" s="157"/>
      <c r="Q130" s="157"/>
      <c r="R130" s="157"/>
      <c r="S130" s="157"/>
      <c r="T130" s="157">
        <v>0</v>
      </c>
      <c r="U130" s="157"/>
      <c r="V130" s="157"/>
      <c r="W130" s="157"/>
      <c r="X130" s="157"/>
      <c r="Y130" s="157"/>
      <c r="Z130" s="157"/>
      <c r="AA130" s="157"/>
      <c r="AB130" s="157"/>
      <c r="AC130" s="157"/>
      <c r="AE130" s="3"/>
      <c r="AF130" s="3"/>
      <c r="AG130" s="1"/>
      <c r="AH130" s="1"/>
      <c r="AI130" s="1"/>
      <c r="AJ130" s="1"/>
      <c r="AK130" s="1"/>
      <c r="AL130" s="1"/>
      <c r="AM130" s="1"/>
      <c r="AN130" s="1"/>
    </row>
    <row r="131" spans="1:40" s="2" customFormat="1" x14ac:dyDescent="0.3">
      <c r="A131" s="28"/>
      <c r="B131" s="28"/>
      <c r="C131" s="28" t="s">
        <v>257</v>
      </c>
      <c r="D131" s="186">
        <v>0</v>
      </c>
      <c r="E131" s="156">
        <v>2897</v>
      </c>
      <c r="F131" s="82">
        <f t="shared" si="43"/>
        <v>-2897</v>
      </c>
      <c r="G131" s="261">
        <v>0</v>
      </c>
      <c r="H131" s="157">
        <f t="shared" ref="H131" si="46">+D131-G131</f>
        <v>0</v>
      </c>
      <c r="I131" s="158" t="s">
        <v>129</v>
      </c>
      <c r="J131" s="168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E131" s="3"/>
      <c r="AF131" s="3"/>
      <c r="AG131" s="1"/>
      <c r="AH131" s="1"/>
      <c r="AI131" s="1"/>
      <c r="AJ131" s="1"/>
      <c r="AK131" s="1"/>
      <c r="AL131" s="1"/>
      <c r="AM131" s="1"/>
      <c r="AN131" s="1"/>
    </row>
    <row r="132" spans="1:40" s="2" customFormat="1" x14ac:dyDescent="0.3">
      <c r="A132" s="28"/>
      <c r="B132" s="28" t="s">
        <v>148</v>
      </c>
      <c r="C132" s="28"/>
      <c r="D132" s="186">
        <f t="shared" si="42"/>
        <v>0</v>
      </c>
      <c r="E132" s="156">
        <v>1106</v>
      </c>
      <c r="F132" s="82">
        <f t="shared" si="43"/>
        <v>-1106</v>
      </c>
      <c r="G132" s="261">
        <v>2000</v>
      </c>
      <c r="H132" s="157">
        <f t="shared" si="44"/>
        <v>-2000</v>
      </c>
      <c r="I132" s="158">
        <f t="shared" si="45"/>
        <v>0</v>
      </c>
      <c r="J132" s="168" t="s">
        <v>31</v>
      </c>
      <c r="K132" s="157"/>
      <c r="L132" s="157"/>
      <c r="M132" s="157"/>
      <c r="N132" s="157"/>
      <c r="O132" s="157"/>
      <c r="P132" s="157"/>
      <c r="Q132" s="157"/>
      <c r="R132" s="157"/>
      <c r="S132" s="157"/>
      <c r="T132" s="157" t="s">
        <v>31</v>
      </c>
      <c r="U132" s="157"/>
      <c r="V132" s="157"/>
      <c r="W132" s="157"/>
      <c r="X132" s="157"/>
      <c r="Y132" s="157"/>
      <c r="Z132" s="157"/>
      <c r="AA132" s="157"/>
      <c r="AB132" s="157"/>
      <c r="AC132" s="157"/>
      <c r="AE132" s="3"/>
      <c r="AF132" s="3"/>
      <c r="AG132" s="1"/>
      <c r="AH132" s="1"/>
      <c r="AI132" s="1"/>
      <c r="AJ132" s="1"/>
      <c r="AK132" s="1"/>
      <c r="AL132" s="1"/>
      <c r="AM132" s="1"/>
      <c r="AN132" s="1"/>
    </row>
    <row r="133" spans="1:40" s="2" customFormat="1" x14ac:dyDescent="0.3">
      <c r="A133" s="146"/>
      <c r="B133" s="28" t="s">
        <v>138</v>
      </c>
      <c r="C133" s="28"/>
      <c r="D133" s="186" t="s">
        <v>31</v>
      </c>
      <c r="E133" s="156" t="s">
        <v>31</v>
      </c>
      <c r="F133" s="156"/>
      <c r="G133" s="261"/>
      <c r="H133" s="156"/>
      <c r="I133" s="159"/>
      <c r="J133" s="168"/>
      <c r="K133" s="157"/>
      <c r="L133" s="157" t="s">
        <v>31</v>
      </c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E133" s="3"/>
      <c r="AF133" s="3"/>
      <c r="AG133" s="1"/>
      <c r="AH133" s="1"/>
      <c r="AI133" s="1"/>
      <c r="AJ133" s="1"/>
      <c r="AK133" s="1"/>
      <c r="AL133" s="1"/>
      <c r="AM133" s="1"/>
      <c r="AN133" s="1"/>
    </row>
    <row r="134" spans="1:40" s="2" customFormat="1" x14ac:dyDescent="0.3">
      <c r="A134" s="146"/>
      <c r="B134" s="28" t="s">
        <v>179</v>
      </c>
      <c r="C134" s="28"/>
      <c r="D134" s="186">
        <f t="shared" ref="D134:D144" si="47">SUM(J134:AC134)</f>
        <v>16667.55</v>
      </c>
      <c r="E134" s="205">
        <f>73052+1839</f>
        <v>74891</v>
      </c>
      <c r="F134" s="82">
        <f t="shared" si="43"/>
        <v>-58223.45</v>
      </c>
      <c r="G134" s="261">
        <v>12500</v>
      </c>
      <c r="H134" s="157">
        <f t="shared" ref="H134:H144" si="48">+D134-G134</f>
        <v>4167.5499999999993</v>
      </c>
      <c r="I134" s="158">
        <f t="shared" ref="I134:I143" si="49">+D134/G134</f>
        <v>1.333404</v>
      </c>
      <c r="J134" s="168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>
        <f>14552.91+2114.64</f>
        <v>16667.55</v>
      </c>
      <c r="V134" s="157"/>
      <c r="W134" s="157"/>
      <c r="X134" s="157"/>
      <c r="Y134" s="157"/>
      <c r="Z134" s="157"/>
      <c r="AA134" s="157"/>
      <c r="AB134" s="157"/>
      <c r="AC134" s="157"/>
      <c r="AE134" s="3"/>
      <c r="AF134" s="3"/>
      <c r="AG134" s="1"/>
      <c r="AH134" s="1"/>
      <c r="AI134" s="1"/>
      <c r="AJ134" s="1"/>
      <c r="AK134" s="1"/>
      <c r="AL134" s="1"/>
      <c r="AM134" s="1"/>
      <c r="AN134" s="1"/>
    </row>
    <row r="135" spans="1:40" s="2" customFormat="1" x14ac:dyDescent="0.3">
      <c r="A135" s="146"/>
      <c r="B135" s="28" t="s">
        <v>178</v>
      </c>
      <c r="C135" s="28"/>
      <c r="D135" s="186">
        <f t="shared" si="47"/>
        <v>10000</v>
      </c>
      <c r="E135" s="205">
        <v>3637</v>
      </c>
      <c r="F135" s="82">
        <f t="shared" si="43"/>
        <v>6363</v>
      </c>
      <c r="G135" s="261">
        <v>10200</v>
      </c>
      <c r="H135" s="157">
        <f t="shared" si="48"/>
        <v>-200</v>
      </c>
      <c r="I135" s="158">
        <f t="shared" si="49"/>
        <v>0.98039215686274506</v>
      </c>
      <c r="J135" s="168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>
        <v>10000</v>
      </c>
      <c r="V135" s="157"/>
      <c r="W135" s="157"/>
      <c r="X135" s="157"/>
      <c r="Y135" s="157"/>
      <c r="Z135" s="157"/>
      <c r="AA135" s="157"/>
      <c r="AB135" s="157"/>
      <c r="AC135" s="157"/>
      <c r="AE135" s="3"/>
      <c r="AF135" s="3"/>
      <c r="AG135" s="1"/>
      <c r="AH135" s="1"/>
      <c r="AI135" s="1"/>
      <c r="AJ135" s="1"/>
      <c r="AK135" s="1"/>
      <c r="AL135" s="1"/>
      <c r="AM135" s="1"/>
      <c r="AN135" s="1"/>
    </row>
    <row r="136" spans="1:40" s="2" customFormat="1" hidden="1" x14ac:dyDescent="0.3">
      <c r="A136" s="28"/>
      <c r="B136" s="28" t="s">
        <v>152</v>
      </c>
      <c r="C136" s="28"/>
      <c r="D136" s="186">
        <f t="shared" si="47"/>
        <v>0</v>
      </c>
      <c r="E136" s="156"/>
      <c r="F136" s="156"/>
      <c r="G136" s="261"/>
      <c r="H136" s="157">
        <f t="shared" si="48"/>
        <v>0</v>
      </c>
      <c r="I136" s="158" t="e">
        <f t="shared" si="49"/>
        <v>#DIV/0!</v>
      </c>
      <c r="J136" s="168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E136" s="3"/>
      <c r="AF136" s="3"/>
      <c r="AG136" s="1"/>
      <c r="AH136" s="1"/>
      <c r="AI136" s="1"/>
      <c r="AJ136" s="1"/>
      <c r="AK136" s="1"/>
      <c r="AL136" s="1"/>
      <c r="AM136" s="1"/>
      <c r="AN136" s="1"/>
    </row>
    <row r="137" spans="1:40" s="2" customFormat="1" x14ac:dyDescent="0.3">
      <c r="A137" s="146"/>
      <c r="B137" s="28" t="s">
        <v>185</v>
      </c>
      <c r="C137" s="28"/>
      <c r="D137" s="186">
        <f t="shared" si="47"/>
        <v>13193.550000000001</v>
      </c>
      <c r="E137" s="156">
        <v>6603</v>
      </c>
      <c r="F137" s="82">
        <f t="shared" si="43"/>
        <v>6590.5500000000011</v>
      </c>
      <c r="G137" s="261">
        <v>37500</v>
      </c>
      <c r="H137" s="157">
        <f t="shared" si="48"/>
        <v>-24306.449999999997</v>
      </c>
      <c r="I137" s="158">
        <f t="shared" si="49"/>
        <v>0.35182800000000003</v>
      </c>
      <c r="J137" s="168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>
        <v>1987.69</v>
      </c>
      <c r="W137" s="157">
        <f>10205.86+1000</f>
        <v>11205.86</v>
      </c>
      <c r="X137" s="157"/>
      <c r="Y137" s="157"/>
      <c r="Z137" s="157"/>
      <c r="AA137" s="157"/>
      <c r="AB137" s="157"/>
      <c r="AC137" s="157"/>
      <c r="AE137" s="3"/>
      <c r="AF137" s="3"/>
      <c r="AG137" s="1"/>
      <c r="AH137" s="1"/>
      <c r="AI137" s="1"/>
      <c r="AJ137" s="1"/>
      <c r="AK137" s="1"/>
      <c r="AL137" s="1"/>
      <c r="AM137" s="1"/>
      <c r="AN137" s="1"/>
    </row>
    <row r="138" spans="1:40" s="2" customFormat="1" hidden="1" x14ac:dyDescent="0.3">
      <c r="A138" s="28"/>
      <c r="B138" s="28" t="s">
        <v>180</v>
      </c>
      <c r="C138" s="28"/>
      <c r="D138" s="186">
        <f t="shared" si="47"/>
        <v>0</v>
      </c>
      <c r="E138" s="156"/>
      <c r="F138" s="82">
        <f t="shared" si="43"/>
        <v>0</v>
      </c>
      <c r="G138" s="261"/>
      <c r="H138" s="157">
        <f t="shared" si="48"/>
        <v>0</v>
      </c>
      <c r="I138" s="158" t="e">
        <f t="shared" si="49"/>
        <v>#DIV/0!</v>
      </c>
      <c r="J138" s="168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E138" s="3"/>
      <c r="AF138" s="3"/>
      <c r="AG138" s="1"/>
      <c r="AH138" s="1"/>
      <c r="AI138" s="1"/>
      <c r="AJ138" s="1"/>
      <c r="AK138" s="1"/>
      <c r="AL138" s="1"/>
      <c r="AM138" s="1"/>
      <c r="AN138" s="1"/>
    </row>
    <row r="139" spans="1:40" s="2" customFormat="1" hidden="1" x14ac:dyDescent="0.3">
      <c r="A139" s="28"/>
      <c r="B139" s="28" t="s">
        <v>150</v>
      </c>
      <c r="C139" s="28"/>
      <c r="D139" s="186">
        <f t="shared" si="47"/>
        <v>0</v>
      </c>
      <c r="E139" s="156"/>
      <c r="F139" s="82">
        <f t="shared" si="43"/>
        <v>0</v>
      </c>
      <c r="G139" s="261"/>
      <c r="H139" s="157">
        <f t="shared" si="48"/>
        <v>0</v>
      </c>
      <c r="I139" s="158" t="e">
        <f t="shared" si="49"/>
        <v>#DIV/0!</v>
      </c>
      <c r="J139" s="168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E139" s="3"/>
      <c r="AF139" s="3"/>
      <c r="AG139" s="1"/>
      <c r="AH139" s="1"/>
      <c r="AI139" s="1"/>
      <c r="AJ139" s="1"/>
      <c r="AK139" s="1"/>
      <c r="AL139" s="1"/>
      <c r="AM139" s="1"/>
      <c r="AN139" s="1"/>
    </row>
    <row r="140" spans="1:40" s="2" customFormat="1" x14ac:dyDescent="0.3">
      <c r="A140" s="28"/>
      <c r="B140" s="28" t="s">
        <v>139</v>
      </c>
      <c r="C140" s="28"/>
      <c r="D140" s="186">
        <f t="shared" si="47"/>
        <v>3500</v>
      </c>
      <c r="E140" s="156">
        <v>0</v>
      </c>
      <c r="F140" s="82">
        <f t="shared" si="43"/>
        <v>3500</v>
      </c>
      <c r="G140" s="261">
        <v>0</v>
      </c>
      <c r="H140" s="157">
        <f t="shared" si="48"/>
        <v>3500</v>
      </c>
      <c r="I140" s="158" t="s">
        <v>129</v>
      </c>
      <c r="J140" s="168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>
        <v>3500</v>
      </c>
      <c r="AA140" s="157"/>
      <c r="AB140" s="157"/>
      <c r="AC140" s="157"/>
      <c r="AE140" s="3"/>
      <c r="AF140" s="3"/>
      <c r="AG140" s="1"/>
      <c r="AH140" s="1"/>
      <c r="AI140" s="1"/>
      <c r="AJ140" s="1"/>
      <c r="AK140" s="1"/>
      <c r="AL140" s="1"/>
      <c r="AM140" s="1"/>
      <c r="AN140" s="1"/>
    </row>
    <row r="141" spans="1:40" s="2" customFormat="1" x14ac:dyDescent="0.3">
      <c r="A141" s="28"/>
      <c r="B141" s="28" t="s">
        <v>151</v>
      </c>
      <c r="C141" s="28"/>
      <c r="D141" s="186">
        <f t="shared" si="47"/>
        <v>2637.5</v>
      </c>
      <c r="E141" s="156">
        <f>1583-619-964</f>
        <v>0</v>
      </c>
      <c r="F141" s="82">
        <f t="shared" si="43"/>
        <v>2637.5</v>
      </c>
      <c r="G141" s="261">
        <v>0</v>
      </c>
      <c r="H141" s="157">
        <f t="shared" si="48"/>
        <v>2637.5</v>
      </c>
      <c r="I141" s="158" t="s">
        <v>129</v>
      </c>
      <c r="J141" s="168"/>
      <c r="K141" s="157"/>
      <c r="L141" s="157"/>
      <c r="M141" s="157"/>
      <c r="N141" s="157"/>
      <c r="O141" s="157"/>
      <c r="P141" s="157"/>
      <c r="Q141" s="157"/>
      <c r="R141" s="157"/>
      <c r="S141" s="157">
        <v>2637.5</v>
      </c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E141" s="3"/>
      <c r="AF141" s="3"/>
      <c r="AG141" s="1"/>
      <c r="AH141" s="1"/>
      <c r="AI141" s="1"/>
      <c r="AJ141" s="1"/>
      <c r="AK141" s="1"/>
      <c r="AL141" s="1"/>
      <c r="AM141" s="1"/>
      <c r="AN141" s="1"/>
    </row>
    <row r="142" spans="1:40" s="2" customFormat="1" x14ac:dyDescent="0.3">
      <c r="A142" s="146"/>
      <c r="B142" s="28" t="s">
        <v>175</v>
      </c>
      <c r="C142" s="28"/>
      <c r="D142" s="186">
        <f t="shared" si="47"/>
        <v>1361.94</v>
      </c>
      <c r="E142" s="156">
        <v>835</v>
      </c>
      <c r="F142" s="82">
        <f t="shared" si="43"/>
        <v>526.94000000000005</v>
      </c>
      <c r="G142" s="261">
        <v>1700</v>
      </c>
      <c r="H142" s="157">
        <f t="shared" si="48"/>
        <v>-338.05999999999995</v>
      </c>
      <c r="I142" s="158">
        <f t="shared" si="49"/>
        <v>0.80114117647058825</v>
      </c>
      <c r="J142" s="168"/>
      <c r="K142" s="157"/>
      <c r="L142" s="157">
        <f>1274.53+87.41</f>
        <v>1361.94</v>
      </c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E142" s="3"/>
      <c r="AF142" s="3"/>
      <c r="AG142" s="1"/>
      <c r="AH142" s="1"/>
      <c r="AI142" s="1"/>
      <c r="AJ142" s="1"/>
      <c r="AK142" s="1"/>
      <c r="AL142" s="1"/>
      <c r="AM142" s="1"/>
      <c r="AN142" s="1"/>
    </row>
    <row r="143" spans="1:40" s="2" customFormat="1" x14ac:dyDescent="0.3">
      <c r="A143" s="146"/>
      <c r="B143" s="28" t="s">
        <v>176</v>
      </c>
      <c r="C143" s="28"/>
      <c r="D143" s="186">
        <f t="shared" si="47"/>
        <v>1128.58</v>
      </c>
      <c r="E143" s="156">
        <v>7380</v>
      </c>
      <c r="F143" s="82">
        <f t="shared" si="43"/>
        <v>-6251.42</v>
      </c>
      <c r="G143" s="261">
        <v>12650</v>
      </c>
      <c r="H143" s="157">
        <f t="shared" si="48"/>
        <v>-11521.42</v>
      </c>
      <c r="I143" s="158">
        <f t="shared" si="49"/>
        <v>8.9215810276679838E-2</v>
      </c>
      <c r="J143" s="168"/>
      <c r="K143" s="157"/>
      <c r="L143" s="157"/>
      <c r="M143" s="157"/>
      <c r="N143" s="157"/>
      <c r="O143" s="157">
        <f>478.58+650</f>
        <v>1128.58</v>
      </c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E143" s="3"/>
      <c r="AF143" s="3"/>
      <c r="AG143" s="1"/>
      <c r="AH143" s="1"/>
      <c r="AI143" s="1"/>
      <c r="AJ143" s="1"/>
      <c r="AK143" s="1"/>
      <c r="AL143" s="1"/>
      <c r="AM143" s="1"/>
      <c r="AN143" s="1"/>
    </row>
    <row r="144" spans="1:40" s="2" customFormat="1" x14ac:dyDescent="0.3">
      <c r="A144" s="28"/>
      <c r="B144" s="28" t="s">
        <v>209</v>
      </c>
      <c r="C144" s="28"/>
      <c r="D144" s="186">
        <f t="shared" si="47"/>
        <v>231.25</v>
      </c>
      <c r="E144" s="156">
        <v>0</v>
      </c>
      <c r="F144" s="82">
        <f t="shared" si="43"/>
        <v>231.25</v>
      </c>
      <c r="G144" s="261">
        <v>0</v>
      </c>
      <c r="H144" s="157">
        <f t="shared" si="48"/>
        <v>231.25</v>
      </c>
      <c r="I144" s="158" t="s">
        <v>129</v>
      </c>
      <c r="J144" s="168"/>
      <c r="K144" s="157"/>
      <c r="L144" s="157"/>
      <c r="M144" s="157">
        <v>231.25</v>
      </c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E144" s="3"/>
      <c r="AF144" s="3"/>
      <c r="AG144" s="1"/>
      <c r="AH144" s="1"/>
      <c r="AI144" s="1"/>
      <c r="AJ144" s="1"/>
      <c r="AK144" s="1"/>
      <c r="AL144" s="1"/>
      <c r="AM144" s="1"/>
      <c r="AN144" s="1"/>
    </row>
    <row r="145" spans="1:40" s="2" customFormat="1" ht="10.95" customHeight="1" x14ac:dyDescent="0.3">
      <c r="A145" s="28"/>
      <c r="B145" s="32"/>
      <c r="C145" s="28"/>
      <c r="D145" s="188"/>
      <c r="E145" s="157"/>
      <c r="F145" s="157"/>
      <c r="G145" s="262"/>
      <c r="H145" s="157"/>
      <c r="I145" s="161"/>
      <c r="J145" s="168" t="s">
        <v>31</v>
      </c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E145" s="3"/>
      <c r="AF145" s="3"/>
      <c r="AG145" s="1"/>
      <c r="AH145" s="1"/>
      <c r="AI145" s="1"/>
      <c r="AJ145" s="1"/>
      <c r="AK145" s="1"/>
      <c r="AL145" s="1"/>
      <c r="AM145" s="1"/>
      <c r="AN145" s="1"/>
    </row>
    <row r="146" spans="1:40" s="2" customFormat="1" x14ac:dyDescent="0.3">
      <c r="A146" s="255" t="s">
        <v>84</v>
      </c>
      <c r="B146" s="32"/>
      <c r="C146" s="28"/>
      <c r="D146" s="188"/>
      <c r="E146" s="157"/>
      <c r="F146" s="157"/>
      <c r="G146" s="262"/>
      <c r="H146" s="157"/>
      <c r="I146" s="161"/>
      <c r="J146" s="168" t="s">
        <v>31</v>
      </c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E146" s="3"/>
      <c r="AF146" s="3"/>
      <c r="AG146" s="1"/>
      <c r="AH146" s="1"/>
      <c r="AI146" s="1"/>
      <c r="AJ146" s="1"/>
      <c r="AK146" s="1"/>
      <c r="AL146" s="1"/>
      <c r="AM146" s="1"/>
      <c r="AN146" s="1"/>
    </row>
    <row r="147" spans="1:40" s="2" customFormat="1" x14ac:dyDescent="0.3">
      <c r="A147" s="28" t="s">
        <v>31</v>
      </c>
      <c r="B147" s="28" t="s">
        <v>186</v>
      </c>
      <c r="C147" s="28"/>
      <c r="D147" s="186">
        <f t="shared" ref="D147:D154" si="50">SUM(J147:AC147)</f>
        <v>61277.87000000001</v>
      </c>
      <c r="E147" s="82">
        <v>40815</v>
      </c>
      <c r="F147" s="82">
        <f t="shared" ref="F147:F154" si="51">D147-E147</f>
        <v>20462.87000000001</v>
      </c>
      <c r="G147" s="261">
        <v>110630</v>
      </c>
      <c r="H147" s="157">
        <f t="shared" ref="H147:H154" si="52">+D147-G147</f>
        <v>-49352.12999999999</v>
      </c>
      <c r="I147" s="158">
        <f t="shared" ref="I147:I154" si="53">+D147/G147</f>
        <v>0.55389921359486582</v>
      </c>
      <c r="J147" s="168" t="s">
        <v>31</v>
      </c>
      <c r="K147" s="157"/>
      <c r="L147" s="157">
        <v>1482.61</v>
      </c>
      <c r="M147" s="157">
        <v>713.61</v>
      </c>
      <c r="N147" s="157"/>
      <c r="O147" s="157">
        <v>1095.43</v>
      </c>
      <c r="P147" s="157">
        <v>10471.61</v>
      </c>
      <c r="Q147" s="157">
        <v>14502.96</v>
      </c>
      <c r="R147" s="157">
        <v>3171.13</v>
      </c>
      <c r="S147" s="157">
        <v>2498.1</v>
      </c>
      <c r="T147" s="157"/>
      <c r="U147" s="157"/>
      <c r="V147" s="157" t="s">
        <v>31</v>
      </c>
      <c r="W147" s="157"/>
      <c r="X147" s="157"/>
      <c r="Y147" s="157">
        <v>1172.76</v>
      </c>
      <c r="Z147" s="157">
        <f>13859.75+7265.91</f>
        <v>21125.66</v>
      </c>
      <c r="AA147" s="157" t="s">
        <v>31</v>
      </c>
      <c r="AB147" s="157"/>
      <c r="AC147" s="157">
        <v>5044</v>
      </c>
      <c r="AE147" s="3"/>
      <c r="AF147" s="3"/>
      <c r="AG147" s="1"/>
      <c r="AH147" s="1"/>
      <c r="AI147" s="1"/>
      <c r="AJ147" s="1"/>
      <c r="AK147" s="1"/>
      <c r="AL147" s="1"/>
      <c r="AM147" s="1"/>
      <c r="AN147" s="1"/>
    </row>
    <row r="148" spans="1:40" s="2" customFormat="1" x14ac:dyDescent="0.3">
      <c r="A148" s="28" t="s">
        <v>31</v>
      </c>
      <c r="B148" s="28" t="s">
        <v>85</v>
      </c>
      <c r="C148" s="28"/>
      <c r="D148" s="186">
        <f t="shared" si="50"/>
        <v>25343.449999999997</v>
      </c>
      <c r="E148" s="82">
        <f>13570-1873</f>
        <v>11697</v>
      </c>
      <c r="F148" s="82">
        <f t="shared" si="51"/>
        <v>13646.449999999997</v>
      </c>
      <c r="G148" s="261">
        <v>44545</v>
      </c>
      <c r="H148" s="157">
        <f t="shared" si="52"/>
        <v>-19201.550000000003</v>
      </c>
      <c r="I148" s="158">
        <f t="shared" si="53"/>
        <v>0.56894039735099333</v>
      </c>
      <c r="J148" s="168" t="s">
        <v>31</v>
      </c>
      <c r="K148" s="157"/>
      <c r="L148" s="157">
        <v>401.33</v>
      </c>
      <c r="M148" s="157"/>
      <c r="N148" s="157"/>
      <c r="O148" s="157">
        <v>1693.08</v>
      </c>
      <c r="P148" s="157">
        <v>1770.34</v>
      </c>
      <c r="Q148" s="157">
        <v>1317.41</v>
      </c>
      <c r="R148" s="157">
        <v>277.95</v>
      </c>
      <c r="S148" s="157">
        <v>2444.0700000000002</v>
      </c>
      <c r="T148" s="157">
        <v>319.31</v>
      </c>
      <c r="U148" s="157"/>
      <c r="V148" s="157"/>
      <c r="W148" s="157"/>
      <c r="X148" s="157"/>
      <c r="Y148" s="157"/>
      <c r="Z148" s="157">
        <v>2797.64</v>
      </c>
      <c r="AA148" s="157">
        <f>1223.5+60</f>
        <v>1283.5</v>
      </c>
      <c r="AB148" s="157"/>
      <c r="AC148" s="157">
        <v>13038.82</v>
      </c>
      <c r="AE148" s="3"/>
      <c r="AF148" s="3"/>
      <c r="AG148" s="1"/>
      <c r="AH148" s="1"/>
      <c r="AI148" s="1"/>
      <c r="AJ148" s="1"/>
      <c r="AK148" s="1"/>
      <c r="AL148" s="1"/>
      <c r="AM148" s="1"/>
      <c r="AN148" s="1"/>
    </row>
    <row r="149" spans="1:40" s="2" customFormat="1" x14ac:dyDescent="0.3">
      <c r="A149" s="28"/>
      <c r="B149" s="28" t="s">
        <v>160</v>
      </c>
      <c r="C149" s="28"/>
      <c r="D149" s="186">
        <f t="shared" si="50"/>
        <v>2220</v>
      </c>
      <c r="E149" s="156">
        <v>0</v>
      </c>
      <c r="F149" s="82">
        <f t="shared" si="51"/>
        <v>2220</v>
      </c>
      <c r="G149" s="261">
        <v>0</v>
      </c>
      <c r="H149" s="157">
        <f t="shared" si="52"/>
        <v>2220</v>
      </c>
      <c r="I149" s="158" t="s">
        <v>129</v>
      </c>
      <c r="J149" s="168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>
        <v>2220</v>
      </c>
      <c r="AA149" s="157"/>
      <c r="AB149" s="157"/>
      <c r="AC149" s="157"/>
      <c r="AE149" s="3"/>
      <c r="AF149" s="3"/>
      <c r="AG149" s="1"/>
      <c r="AH149" s="1"/>
      <c r="AI149" s="1"/>
      <c r="AJ149" s="1"/>
      <c r="AK149" s="1"/>
      <c r="AL149" s="1"/>
      <c r="AM149" s="1"/>
      <c r="AN149" s="1"/>
    </row>
    <row r="150" spans="1:40" s="2" customFormat="1" x14ac:dyDescent="0.3">
      <c r="A150" s="28"/>
      <c r="B150" s="28" t="s">
        <v>86</v>
      </c>
      <c r="C150" s="28"/>
      <c r="D150" s="186">
        <f t="shared" si="50"/>
        <v>0</v>
      </c>
      <c r="E150" s="156">
        <v>526</v>
      </c>
      <c r="F150" s="82">
        <f t="shared" si="51"/>
        <v>-526</v>
      </c>
      <c r="G150" s="261">
        <v>5020</v>
      </c>
      <c r="H150" s="157">
        <f t="shared" si="52"/>
        <v>-5020</v>
      </c>
      <c r="I150" s="158">
        <f t="shared" si="53"/>
        <v>0</v>
      </c>
      <c r="J150" s="168" t="s">
        <v>31</v>
      </c>
      <c r="K150" s="157"/>
      <c r="L150" s="157"/>
      <c r="M150" s="157"/>
      <c r="N150" s="157"/>
      <c r="O150" s="157"/>
      <c r="P150" s="157"/>
      <c r="Q150" s="157"/>
      <c r="R150" s="157"/>
      <c r="S150" s="157"/>
      <c r="T150" s="157" t="s">
        <v>31</v>
      </c>
      <c r="U150" s="157" t="s">
        <v>31</v>
      </c>
      <c r="V150" s="157"/>
      <c r="W150" s="157"/>
      <c r="X150" s="157"/>
      <c r="Y150" s="157"/>
      <c r="Z150" s="157"/>
      <c r="AA150" s="157"/>
      <c r="AB150" s="157"/>
      <c r="AC150" s="157"/>
      <c r="AE150" s="3"/>
      <c r="AF150" s="3"/>
      <c r="AG150" s="1"/>
      <c r="AH150" s="1"/>
      <c r="AI150" s="1"/>
      <c r="AJ150" s="1"/>
      <c r="AK150" s="1"/>
      <c r="AL150" s="1"/>
      <c r="AM150" s="1"/>
      <c r="AN150" s="1"/>
    </row>
    <row r="151" spans="1:40" s="2" customFormat="1" x14ac:dyDescent="0.3">
      <c r="A151" s="28"/>
      <c r="B151" s="28" t="s">
        <v>208</v>
      </c>
      <c r="C151" s="28"/>
      <c r="D151" s="186">
        <f t="shared" si="50"/>
        <v>2801.46</v>
      </c>
      <c r="E151" s="156">
        <v>0</v>
      </c>
      <c r="F151" s="82">
        <f t="shared" si="51"/>
        <v>2801.46</v>
      </c>
      <c r="G151" s="261">
        <v>0</v>
      </c>
      <c r="H151" s="157">
        <f t="shared" si="52"/>
        <v>2801.46</v>
      </c>
      <c r="I151" s="158" t="s">
        <v>129</v>
      </c>
      <c r="J151" s="168"/>
      <c r="K151" s="157"/>
      <c r="L151" s="157"/>
      <c r="M151" s="157"/>
      <c r="N151" s="157"/>
      <c r="O151" s="157">
        <v>2801.46</v>
      </c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E151" s="3"/>
      <c r="AF151" s="3"/>
      <c r="AG151" s="1"/>
      <c r="AH151" s="1"/>
      <c r="AI151" s="1"/>
      <c r="AJ151" s="1"/>
      <c r="AK151" s="1"/>
      <c r="AL151" s="1"/>
      <c r="AM151" s="1"/>
      <c r="AN151" s="1"/>
    </row>
    <row r="152" spans="1:40" s="2" customFormat="1" hidden="1" x14ac:dyDescent="0.3">
      <c r="A152" s="28"/>
      <c r="B152" s="28" t="s">
        <v>188</v>
      </c>
      <c r="C152" s="28"/>
      <c r="D152" s="186">
        <f t="shared" si="50"/>
        <v>0</v>
      </c>
      <c r="E152" s="156"/>
      <c r="F152" s="82">
        <f t="shared" si="51"/>
        <v>0</v>
      </c>
      <c r="G152" s="261"/>
      <c r="H152" s="157">
        <f t="shared" si="52"/>
        <v>0</v>
      </c>
      <c r="I152" s="158" t="e">
        <f t="shared" si="53"/>
        <v>#DIV/0!</v>
      </c>
      <c r="J152" s="168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E152" s="3"/>
      <c r="AF152" s="3"/>
      <c r="AG152" s="1"/>
      <c r="AH152" s="1"/>
      <c r="AI152" s="1"/>
      <c r="AJ152" s="1"/>
      <c r="AK152" s="1"/>
      <c r="AL152" s="1"/>
      <c r="AM152" s="1"/>
      <c r="AN152" s="1"/>
    </row>
    <row r="153" spans="1:40" s="2" customFormat="1" x14ac:dyDescent="0.3">
      <c r="A153" s="28" t="s">
        <v>31</v>
      </c>
      <c r="B153" s="28" t="s">
        <v>87</v>
      </c>
      <c r="C153" s="28"/>
      <c r="D153" s="186">
        <f t="shared" si="50"/>
        <v>1697.6399999999999</v>
      </c>
      <c r="E153" s="156">
        <f>2815-1025</f>
        <v>1790</v>
      </c>
      <c r="F153" s="82">
        <f t="shared" si="51"/>
        <v>-92.360000000000127</v>
      </c>
      <c r="G153" s="261">
        <v>8585</v>
      </c>
      <c r="H153" s="157">
        <f t="shared" si="52"/>
        <v>-6887.3600000000006</v>
      </c>
      <c r="I153" s="158">
        <f t="shared" si="53"/>
        <v>0.19774490390215491</v>
      </c>
      <c r="J153" s="168" t="s">
        <v>31</v>
      </c>
      <c r="K153" s="157"/>
      <c r="L153" s="157"/>
      <c r="M153" s="157"/>
      <c r="N153" s="157"/>
      <c r="O153" s="157">
        <v>104.93</v>
      </c>
      <c r="P153" s="157"/>
      <c r="Q153" s="157"/>
      <c r="R153" s="157">
        <v>128.38</v>
      </c>
      <c r="S153" s="157"/>
      <c r="T153" s="157"/>
      <c r="U153" s="157"/>
      <c r="V153" s="157"/>
      <c r="W153" s="157"/>
      <c r="X153" s="157"/>
      <c r="Y153" s="157"/>
      <c r="Z153" s="157">
        <v>1464.33</v>
      </c>
      <c r="AA153" s="157"/>
      <c r="AB153" s="157"/>
      <c r="AC153" s="157"/>
      <c r="AE153" s="3"/>
      <c r="AF153" s="3"/>
      <c r="AG153" s="1"/>
      <c r="AH153" s="1"/>
      <c r="AI153" s="1"/>
      <c r="AJ153" s="1"/>
      <c r="AK153" s="1"/>
      <c r="AL153" s="1"/>
      <c r="AM153" s="1"/>
      <c r="AN153" s="1"/>
    </row>
    <row r="154" spans="1:40" s="2" customFormat="1" x14ac:dyDescent="0.3">
      <c r="A154" s="28"/>
      <c r="B154" s="28" t="s">
        <v>187</v>
      </c>
      <c r="C154" s="28"/>
      <c r="D154" s="186">
        <f t="shared" si="50"/>
        <v>988.62</v>
      </c>
      <c r="E154" s="156">
        <v>859</v>
      </c>
      <c r="F154" s="82">
        <f t="shared" si="51"/>
        <v>129.62</v>
      </c>
      <c r="G154" s="261">
        <v>8000</v>
      </c>
      <c r="H154" s="157">
        <f t="shared" si="52"/>
        <v>-7011.38</v>
      </c>
      <c r="I154" s="158">
        <f t="shared" si="53"/>
        <v>0.12357750000000001</v>
      </c>
      <c r="J154" s="168"/>
      <c r="K154" s="157"/>
      <c r="L154" s="157"/>
      <c r="M154" s="157"/>
      <c r="N154" s="157"/>
      <c r="O154" s="157">
        <v>988.62</v>
      </c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E154" s="3"/>
      <c r="AF154" s="3"/>
      <c r="AG154" s="1"/>
      <c r="AH154" s="1"/>
      <c r="AI154" s="1"/>
      <c r="AJ154" s="1"/>
      <c r="AK154" s="1"/>
      <c r="AL154" s="1"/>
      <c r="AM154" s="1"/>
      <c r="AN154" s="1"/>
    </row>
    <row r="155" spans="1:40" s="2" customFormat="1" ht="10.95" customHeight="1" x14ac:dyDescent="0.3">
      <c r="A155" s="28"/>
      <c r="B155" s="32"/>
      <c r="C155" s="28"/>
      <c r="D155" s="188"/>
      <c r="E155" s="157"/>
      <c r="F155" s="157"/>
      <c r="G155" s="262"/>
      <c r="H155" s="157"/>
      <c r="I155" s="161"/>
      <c r="J155" s="168" t="s">
        <v>31</v>
      </c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E155" s="3"/>
      <c r="AF155" s="3"/>
      <c r="AG155" s="1"/>
      <c r="AH155" s="1"/>
      <c r="AI155" s="1"/>
      <c r="AJ155" s="1"/>
      <c r="AK155" s="1"/>
      <c r="AL155" s="1"/>
      <c r="AM155" s="1"/>
      <c r="AN155" s="1"/>
    </row>
    <row r="156" spans="1:40" s="2" customFormat="1" x14ac:dyDescent="0.3">
      <c r="A156" s="255" t="s">
        <v>88</v>
      </c>
      <c r="B156" s="32"/>
      <c r="C156" s="28"/>
      <c r="D156" s="188"/>
      <c r="E156" s="157"/>
      <c r="F156" s="157"/>
      <c r="G156" s="262"/>
      <c r="H156" s="157"/>
      <c r="I156" s="161"/>
      <c r="J156" s="168" t="s">
        <v>31</v>
      </c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E156" s="3"/>
      <c r="AF156" s="3"/>
      <c r="AG156" s="1"/>
      <c r="AH156" s="1"/>
      <c r="AI156" s="1"/>
      <c r="AJ156" s="1"/>
      <c r="AK156" s="1"/>
      <c r="AL156" s="1"/>
      <c r="AM156" s="1"/>
      <c r="AN156" s="1"/>
    </row>
    <row r="157" spans="1:40" s="2" customFormat="1" x14ac:dyDescent="0.3">
      <c r="A157" s="28"/>
      <c r="B157" s="28" t="s">
        <v>89</v>
      </c>
      <c r="C157" s="28"/>
      <c r="D157" s="186">
        <f>SUM(J157:AC157)</f>
        <v>5254.42</v>
      </c>
      <c r="E157" s="82">
        <v>3456</v>
      </c>
      <c r="F157" s="82">
        <f t="shared" ref="F157:F159" si="54">D157-E157</f>
        <v>1798.42</v>
      </c>
      <c r="G157" s="261">
        <v>9275</v>
      </c>
      <c r="H157" s="157">
        <f t="shared" ref="H157:H159" si="55">+D157-G157</f>
        <v>-4020.58</v>
      </c>
      <c r="I157" s="158">
        <f t="shared" ref="I157:I159" si="56">+D157/G157</f>
        <v>0.56651428571428575</v>
      </c>
      <c r="J157" s="168"/>
      <c r="K157" s="157"/>
      <c r="L157" s="157">
        <v>50</v>
      </c>
      <c r="M157" s="157">
        <v>464.3</v>
      </c>
      <c r="N157" s="157" t="s">
        <v>31</v>
      </c>
      <c r="O157" s="157">
        <f>303.32+323.24</f>
        <v>626.55999999999995</v>
      </c>
      <c r="P157" s="157">
        <v>509.04</v>
      </c>
      <c r="Q157" s="157">
        <v>275.36</v>
      </c>
      <c r="R157" s="157"/>
      <c r="S157" s="157">
        <v>82.17</v>
      </c>
      <c r="T157" s="157">
        <v>623.88</v>
      </c>
      <c r="U157" s="157"/>
      <c r="V157" s="157"/>
      <c r="W157" s="157"/>
      <c r="X157" s="157" t="s">
        <v>31</v>
      </c>
      <c r="Y157" s="157"/>
      <c r="Z157" s="157">
        <v>631.05999999999995</v>
      </c>
      <c r="AA157" s="157">
        <f>1429.55+562.5</f>
        <v>1992.05</v>
      </c>
      <c r="AB157" s="157"/>
      <c r="AC157" s="157"/>
      <c r="AE157" s="3"/>
      <c r="AF157" s="3"/>
      <c r="AG157" s="1"/>
      <c r="AH157" s="1"/>
      <c r="AI157" s="1"/>
      <c r="AJ157" s="1"/>
      <c r="AK157" s="1"/>
      <c r="AL157" s="1"/>
      <c r="AM157" s="1"/>
      <c r="AN157" s="1"/>
    </row>
    <row r="158" spans="1:40" s="2" customFormat="1" x14ac:dyDescent="0.3">
      <c r="A158" s="28"/>
      <c r="B158" s="28" t="s">
        <v>161</v>
      </c>
      <c r="C158" s="28"/>
      <c r="D158" s="186">
        <f>SUM(J158:AC158)</f>
        <v>3936.4799999999996</v>
      </c>
      <c r="E158" s="82">
        <v>3862</v>
      </c>
      <c r="F158" s="82">
        <f t="shared" si="54"/>
        <v>74.479999999999563</v>
      </c>
      <c r="G158" s="261">
        <v>7900</v>
      </c>
      <c r="H158" s="157">
        <f t="shared" si="55"/>
        <v>-3963.5200000000004</v>
      </c>
      <c r="I158" s="158">
        <f t="shared" si="56"/>
        <v>0.49828860759493665</v>
      </c>
      <c r="J158" s="168"/>
      <c r="K158" s="157"/>
      <c r="L158" s="157"/>
      <c r="M158" s="157"/>
      <c r="N158" s="157"/>
      <c r="O158" s="157">
        <f>185.34+171.48</f>
        <v>356.82</v>
      </c>
      <c r="P158" s="157"/>
      <c r="Q158" s="157"/>
      <c r="R158" s="157"/>
      <c r="S158" s="157"/>
      <c r="T158" s="157"/>
      <c r="U158" s="157"/>
      <c r="V158" s="157"/>
      <c r="W158" s="157"/>
      <c r="X158" s="157">
        <v>2314.4899999999998</v>
      </c>
      <c r="Y158" s="157"/>
      <c r="Z158" s="157">
        <v>142.69999999999999</v>
      </c>
      <c r="AA158" s="157"/>
      <c r="AB158" s="157"/>
      <c r="AC158" s="157">
        <v>1122.47</v>
      </c>
      <c r="AE158" s="3"/>
      <c r="AF158" s="3"/>
      <c r="AG158" s="1"/>
      <c r="AH158" s="1"/>
      <c r="AI158" s="1"/>
      <c r="AJ158" s="1"/>
      <c r="AK158" s="1"/>
      <c r="AL158" s="1"/>
      <c r="AM158" s="1"/>
      <c r="AN158" s="1"/>
    </row>
    <row r="159" spans="1:40" s="2" customFormat="1" x14ac:dyDescent="0.3">
      <c r="A159" s="28"/>
      <c r="B159" s="28" t="s">
        <v>83</v>
      </c>
      <c r="C159" s="28"/>
      <c r="D159" s="186">
        <f>SUM(J159:AC159)</f>
        <v>3768.08</v>
      </c>
      <c r="E159" s="82">
        <v>1125</v>
      </c>
      <c r="F159" s="82">
        <f t="shared" si="54"/>
        <v>2643.08</v>
      </c>
      <c r="G159" s="261">
        <v>4800</v>
      </c>
      <c r="H159" s="157">
        <f t="shared" si="55"/>
        <v>-1031.92</v>
      </c>
      <c r="I159" s="158">
        <f t="shared" si="56"/>
        <v>0.7850166666666667</v>
      </c>
      <c r="J159" s="168" t="s">
        <v>31</v>
      </c>
      <c r="K159" s="157"/>
      <c r="L159" s="157">
        <f>263.43+138.89</f>
        <v>402.32</v>
      </c>
      <c r="M159" s="157">
        <v>451.33</v>
      </c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>
        <v>159.19999999999999</v>
      </c>
      <c r="AA159" s="157">
        <f>762.91+676.55-111.41-37.5+438.69+1020.47</f>
        <v>2749.71</v>
      </c>
      <c r="AB159" s="157"/>
      <c r="AC159" s="157">
        <v>5.52</v>
      </c>
      <c r="AE159" s="3"/>
      <c r="AF159" s="3"/>
      <c r="AG159" s="1"/>
      <c r="AH159" s="1"/>
      <c r="AI159" s="1"/>
      <c r="AJ159" s="1"/>
      <c r="AK159" s="1"/>
      <c r="AL159" s="1"/>
      <c r="AM159" s="1"/>
      <c r="AN159" s="1"/>
    </row>
    <row r="160" spans="1:40" s="2" customFormat="1" ht="10.95" customHeight="1" x14ac:dyDescent="0.3">
      <c r="A160" s="28"/>
      <c r="B160" s="32"/>
      <c r="C160" s="28"/>
      <c r="D160" s="188"/>
      <c r="E160" s="157"/>
      <c r="F160" s="157"/>
      <c r="G160" s="262"/>
      <c r="H160" s="157"/>
      <c r="I160" s="161"/>
      <c r="J160" s="168" t="s">
        <v>31</v>
      </c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E160" s="3"/>
      <c r="AF160" s="3"/>
      <c r="AG160" s="1"/>
      <c r="AH160" s="1"/>
      <c r="AI160" s="1"/>
      <c r="AJ160" s="1"/>
      <c r="AK160" s="1"/>
      <c r="AL160" s="1"/>
      <c r="AM160" s="1"/>
      <c r="AN160" s="1"/>
    </row>
    <row r="161" spans="1:40" s="2" customFormat="1" x14ac:dyDescent="0.3">
      <c r="A161" s="255" t="s">
        <v>90</v>
      </c>
      <c r="B161" s="32"/>
      <c r="C161" s="28"/>
      <c r="D161" s="188"/>
      <c r="E161" s="157"/>
      <c r="F161" s="157"/>
      <c r="G161" s="262"/>
      <c r="H161" s="157"/>
      <c r="I161" s="161"/>
      <c r="J161" s="168" t="s">
        <v>31</v>
      </c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E161" s="3"/>
      <c r="AF161" s="3"/>
      <c r="AG161" s="1"/>
      <c r="AH161" s="1"/>
      <c r="AI161" s="1"/>
      <c r="AJ161" s="1"/>
      <c r="AK161" s="1"/>
      <c r="AL161" s="1"/>
      <c r="AM161" s="1"/>
      <c r="AN161" s="1"/>
    </row>
    <row r="162" spans="1:40" s="2" customFormat="1" x14ac:dyDescent="0.3">
      <c r="A162" s="28"/>
      <c r="B162" s="28" t="s">
        <v>91</v>
      </c>
      <c r="C162" s="28"/>
      <c r="D162" s="186">
        <f>SUM(J162:AC162)</f>
        <v>29843.96</v>
      </c>
      <c r="E162" s="156">
        <v>14843</v>
      </c>
      <c r="F162" s="82">
        <f t="shared" ref="F162:F164" si="57">D162-E162</f>
        <v>15000.96</v>
      </c>
      <c r="G162" s="261">
        <v>24910</v>
      </c>
      <c r="H162" s="157">
        <f t="shared" ref="H162:H164" si="58">+D162-G162</f>
        <v>4933.9599999999991</v>
      </c>
      <c r="I162" s="158">
        <f t="shared" ref="I162:I164" si="59">+D162/G162</f>
        <v>1.1980714572460858</v>
      </c>
      <c r="J162" s="168" t="s">
        <v>31</v>
      </c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>
        <v>29843.96</v>
      </c>
      <c r="Y162" s="157"/>
      <c r="Z162" s="157"/>
      <c r="AA162" s="157"/>
      <c r="AB162" s="157"/>
      <c r="AC162" s="157"/>
      <c r="AE162" s="3"/>
      <c r="AF162" s="3"/>
      <c r="AG162" s="1"/>
      <c r="AH162" s="1"/>
      <c r="AI162" s="1"/>
      <c r="AJ162" s="1"/>
      <c r="AK162" s="1"/>
      <c r="AL162" s="1"/>
      <c r="AM162" s="1"/>
      <c r="AN162" s="1"/>
    </row>
    <row r="163" spans="1:40" s="2" customFormat="1" x14ac:dyDescent="0.3">
      <c r="A163" s="28"/>
      <c r="B163" s="28" t="s">
        <v>134</v>
      </c>
      <c r="C163" s="28"/>
      <c r="D163" s="186">
        <f>SUM(J163:AC163)</f>
        <v>23715.95</v>
      </c>
      <c r="E163" s="156">
        <v>0</v>
      </c>
      <c r="F163" s="82">
        <f t="shared" si="57"/>
        <v>23715.95</v>
      </c>
      <c r="G163" s="261">
        <v>0</v>
      </c>
      <c r="H163" s="157">
        <f t="shared" si="58"/>
        <v>23715.95</v>
      </c>
      <c r="I163" s="158" t="s">
        <v>129</v>
      </c>
      <c r="J163" s="168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>
        <v>23715.95</v>
      </c>
      <c r="Y163" s="157"/>
      <c r="Z163" s="157"/>
      <c r="AA163" s="157"/>
      <c r="AB163" s="157"/>
      <c r="AC163" s="157"/>
      <c r="AE163" s="3"/>
      <c r="AF163" s="3"/>
      <c r="AG163" s="1"/>
      <c r="AH163" s="1"/>
      <c r="AI163" s="1"/>
      <c r="AJ163" s="1"/>
      <c r="AK163" s="1"/>
      <c r="AL163" s="1"/>
      <c r="AM163" s="1"/>
      <c r="AN163" s="1"/>
    </row>
    <row r="164" spans="1:40" s="2" customFormat="1" x14ac:dyDescent="0.3">
      <c r="A164" s="28"/>
      <c r="B164" s="28" t="s">
        <v>92</v>
      </c>
      <c r="C164" s="28"/>
      <c r="D164" s="186">
        <f>SUM(J164:AC164)</f>
        <v>13066.67</v>
      </c>
      <c r="E164" s="156">
        <v>13993</v>
      </c>
      <c r="F164" s="82">
        <f t="shared" si="57"/>
        <v>-926.32999999999993</v>
      </c>
      <c r="G164" s="261">
        <v>10895</v>
      </c>
      <c r="H164" s="157">
        <f t="shared" si="58"/>
        <v>2171.67</v>
      </c>
      <c r="I164" s="158">
        <f t="shared" si="59"/>
        <v>1.1993272143184948</v>
      </c>
      <c r="J164" s="168" t="s">
        <v>31</v>
      </c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>
        <v>13066.67</v>
      </c>
      <c r="AB164" s="157"/>
      <c r="AC164" s="157"/>
      <c r="AE164" s="3"/>
      <c r="AF164" s="3"/>
      <c r="AG164" s="1"/>
      <c r="AH164" s="1"/>
      <c r="AI164" s="1"/>
      <c r="AJ164" s="1"/>
      <c r="AK164" s="1"/>
      <c r="AL164" s="1"/>
      <c r="AM164" s="1"/>
      <c r="AN164" s="1"/>
    </row>
    <row r="165" spans="1:40" s="2" customFormat="1" ht="10.95" customHeight="1" x14ac:dyDescent="0.3">
      <c r="A165" s="28"/>
      <c r="B165" s="32"/>
      <c r="C165" s="28"/>
      <c r="D165" s="188"/>
      <c r="E165" s="157"/>
      <c r="F165" s="157"/>
      <c r="G165" s="262"/>
      <c r="H165" s="157"/>
      <c r="I165" s="161"/>
      <c r="J165" s="168" t="s">
        <v>31</v>
      </c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E165" s="3"/>
      <c r="AF165" s="3"/>
      <c r="AG165" s="1"/>
      <c r="AH165" s="1"/>
      <c r="AI165" s="1"/>
      <c r="AJ165" s="1"/>
      <c r="AK165" s="1"/>
      <c r="AL165" s="1"/>
      <c r="AM165" s="1"/>
      <c r="AN165" s="1"/>
    </row>
    <row r="166" spans="1:40" s="2" customFormat="1" x14ac:dyDescent="0.3">
      <c r="A166" s="255" t="s">
        <v>93</v>
      </c>
      <c r="B166" s="32"/>
      <c r="C166" s="28"/>
      <c r="D166" s="188"/>
      <c r="E166" s="157"/>
      <c r="F166" s="157"/>
      <c r="G166" s="262"/>
      <c r="H166" s="157"/>
      <c r="I166" s="161"/>
      <c r="J166" s="168" t="s">
        <v>31</v>
      </c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E166" s="3"/>
      <c r="AF166" s="3"/>
      <c r="AG166" s="1"/>
      <c r="AH166" s="1"/>
      <c r="AI166" s="1"/>
      <c r="AJ166" s="1"/>
      <c r="AK166" s="1"/>
      <c r="AL166" s="1"/>
      <c r="AM166" s="1"/>
      <c r="AN166" s="1"/>
    </row>
    <row r="167" spans="1:40" x14ac:dyDescent="0.3">
      <c r="A167" s="28"/>
      <c r="B167" s="28" t="s">
        <v>94</v>
      </c>
      <c r="C167" s="28"/>
      <c r="D167" s="186">
        <f>SUM(J167:AC167)</f>
        <v>8096.05</v>
      </c>
      <c r="E167" s="156">
        <v>7570</v>
      </c>
      <c r="F167" s="82">
        <f t="shared" ref="F167:F169" si="60">D167-E167</f>
        <v>526.05000000000018</v>
      </c>
      <c r="G167" s="261">
        <v>7500</v>
      </c>
      <c r="H167" s="157">
        <f t="shared" ref="H167:H169" si="61">+D167-G167</f>
        <v>596.05000000000018</v>
      </c>
      <c r="I167" s="158">
        <f t="shared" ref="I167:I169" si="62">+D167/G167</f>
        <v>1.0794733333333333</v>
      </c>
      <c r="J167" s="168" t="s">
        <v>31</v>
      </c>
      <c r="K167" s="157"/>
      <c r="L167" s="157"/>
      <c r="M167" s="157"/>
      <c r="N167" s="157"/>
      <c r="O167" s="157"/>
      <c r="P167" s="157"/>
      <c r="Q167" s="157"/>
      <c r="R167" s="157"/>
      <c r="S167" s="157"/>
      <c r="T167" s="157">
        <v>2236.04</v>
      </c>
      <c r="U167" s="157">
        <v>871.41</v>
      </c>
      <c r="V167" s="157"/>
      <c r="W167" s="157"/>
      <c r="X167" s="157"/>
      <c r="Y167" s="157"/>
      <c r="Z167" s="157"/>
      <c r="AA167" s="157">
        <f>4048.39+940.21</f>
        <v>4988.6000000000004</v>
      </c>
      <c r="AB167" s="157"/>
      <c r="AC167" s="157"/>
    </row>
    <row r="168" spans="1:40" x14ac:dyDescent="0.3">
      <c r="A168" s="28"/>
      <c r="B168" s="28" t="s">
        <v>95</v>
      </c>
      <c r="C168" s="28"/>
      <c r="D168" s="186">
        <f>SUM(J168:AC168)</f>
        <v>341.95</v>
      </c>
      <c r="E168" s="156">
        <v>240</v>
      </c>
      <c r="F168" s="82">
        <f t="shared" si="60"/>
        <v>101.94999999999999</v>
      </c>
      <c r="G168" s="261">
        <v>593</v>
      </c>
      <c r="H168" s="157">
        <f t="shared" si="61"/>
        <v>-251.05</v>
      </c>
      <c r="I168" s="158">
        <f t="shared" si="62"/>
        <v>0.57664418212478918</v>
      </c>
      <c r="J168" s="168" t="s">
        <v>31</v>
      </c>
      <c r="K168" s="157"/>
      <c r="L168" s="157">
        <v>50</v>
      </c>
      <c r="M168" s="157">
        <v>51.95</v>
      </c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>
        <v>240</v>
      </c>
      <c r="AB168" s="157"/>
      <c r="AC168" s="157"/>
    </row>
    <row r="169" spans="1:40" x14ac:dyDescent="0.3">
      <c r="A169" s="28"/>
      <c r="B169" s="28" t="s">
        <v>96</v>
      </c>
      <c r="C169" s="28"/>
      <c r="D169" s="186">
        <f>SUM(J169:AC169)</f>
        <v>167.95</v>
      </c>
      <c r="E169" s="156">
        <v>708</v>
      </c>
      <c r="F169" s="82">
        <f t="shared" si="60"/>
        <v>-540.04999999999995</v>
      </c>
      <c r="G169" s="261">
        <v>500</v>
      </c>
      <c r="H169" s="157">
        <f t="shared" si="61"/>
        <v>-332.05</v>
      </c>
      <c r="I169" s="158">
        <f t="shared" si="62"/>
        <v>0.33589999999999998</v>
      </c>
      <c r="J169" s="168" t="s">
        <v>31</v>
      </c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>
        <f>97+70.95</f>
        <v>167.95</v>
      </c>
      <c r="AB169" s="157"/>
      <c r="AC169" s="157"/>
    </row>
    <row r="170" spans="1:40" ht="10.95" customHeight="1" x14ac:dyDescent="0.3">
      <c r="A170" s="28"/>
      <c r="B170" s="32"/>
      <c r="C170" s="28"/>
      <c r="D170" s="188"/>
      <c r="E170" s="157"/>
      <c r="F170" s="157"/>
      <c r="G170" s="262"/>
      <c r="H170" s="157"/>
      <c r="I170" s="161"/>
      <c r="J170" s="168" t="s">
        <v>31</v>
      </c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</row>
    <row r="171" spans="1:40" x14ac:dyDescent="0.3">
      <c r="A171" s="255" t="s">
        <v>210</v>
      </c>
      <c r="B171" s="32"/>
      <c r="C171" s="28"/>
      <c r="D171" s="188"/>
      <c r="E171" s="157"/>
      <c r="F171" s="157"/>
      <c r="G171" s="262"/>
      <c r="H171" s="157"/>
      <c r="I171" s="161"/>
      <c r="J171" s="168" t="s">
        <v>31</v>
      </c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</row>
    <row r="172" spans="1:40" x14ac:dyDescent="0.3">
      <c r="A172" s="28"/>
      <c r="B172" s="28" t="s">
        <v>98</v>
      </c>
      <c r="C172" s="28"/>
      <c r="D172" s="186">
        <f t="shared" ref="D172:D180" si="63">SUM(J172:AC172)</f>
        <v>0</v>
      </c>
      <c r="E172" s="156">
        <v>0</v>
      </c>
      <c r="F172" s="82">
        <f t="shared" ref="F172:F173" si="64">D172-E172</f>
        <v>0</v>
      </c>
      <c r="G172" s="261">
        <v>12000</v>
      </c>
      <c r="H172" s="157">
        <f t="shared" ref="H172:H173" si="65">+D172-G172</f>
        <v>-12000</v>
      </c>
      <c r="I172" s="158">
        <f t="shared" ref="I172:I173" si="66">+D172/G172</f>
        <v>0</v>
      </c>
      <c r="J172" s="168" t="s">
        <v>31</v>
      </c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</row>
    <row r="173" spans="1:40" x14ac:dyDescent="0.3">
      <c r="A173" s="28"/>
      <c r="B173" s="28" t="s">
        <v>97</v>
      </c>
      <c r="C173" s="28"/>
      <c r="D173" s="186">
        <f t="shared" si="63"/>
        <v>19100</v>
      </c>
      <c r="E173" s="156">
        <v>1244</v>
      </c>
      <c r="F173" s="82">
        <f t="shared" si="64"/>
        <v>17856</v>
      </c>
      <c r="G173" s="261">
        <v>19000</v>
      </c>
      <c r="H173" s="157">
        <f t="shared" si="65"/>
        <v>100</v>
      </c>
      <c r="I173" s="158">
        <f t="shared" si="66"/>
        <v>1.0052631578947369</v>
      </c>
      <c r="J173" s="168" t="s">
        <v>31</v>
      </c>
      <c r="K173" s="157"/>
      <c r="L173" s="157"/>
      <c r="M173" s="157"/>
      <c r="N173" s="157"/>
      <c r="O173" s="157">
        <v>600</v>
      </c>
      <c r="P173" s="157"/>
      <c r="Q173" s="157"/>
      <c r="R173" s="157"/>
      <c r="S173" s="157"/>
      <c r="T173" s="157">
        <v>8000</v>
      </c>
      <c r="U173" s="157">
        <v>10500</v>
      </c>
      <c r="V173" s="157"/>
      <c r="W173" s="157"/>
      <c r="X173" s="157"/>
      <c r="Y173" s="157"/>
      <c r="Z173" s="157"/>
      <c r="AA173" s="157"/>
      <c r="AB173" s="157"/>
      <c r="AC173" s="157"/>
      <c r="AG173" s="2" t="s">
        <v>31</v>
      </c>
    </row>
    <row r="174" spans="1:40" hidden="1" x14ac:dyDescent="0.3">
      <c r="A174" s="28"/>
      <c r="B174" s="32" t="s">
        <v>100</v>
      </c>
      <c r="C174" s="28"/>
      <c r="D174" s="186">
        <f t="shared" si="63"/>
        <v>0</v>
      </c>
      <c r="E174" s="156"/>
      <c r="F174" s="156"/>
      <c r="G174" s="261"/>
      <c r="H174" s="156"/>
      <c r="I174" s="159"/>
      <c r="J174" s="168" t="s">
        <v>31</v>
      </c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</row>
    <row r="175" spans="1:40" hidden="1" x14ac:dyDescent="0.3">
      <c r="A175" s="28"/>
      <c r="B175" s="32"/>
      <c r="C175" s="28" t="s">
        <v>137</v>
      </c>
      <c r="D175" s="186">
        <f t="shared" si="63"/>
        <v>0</v>
      </c>
      <c r="E175" s="156"/>
      <c r="F175" s="156"/>
      <c r="G175" s="261"/>
      <c r="H175" s="156"/>
      <c r="I175" s="159"/>
      <c r="J175" s="168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</row>
    <row r="176" spans="1:40" hidden="1" x14ac:dyDescent="0.3">
      <c r="A176" s="28"/>
      <c r="B176" s="32"/>
      <c r="C176" s="28" t="s">
        <v>141</v>
      </c>
      <c r="D176" s="186">
        <f t="shared" si="63"/>
        <v>0</v>
      </c>
      <c r="E176" s="156"/>
      <c r="F176" s="156"/>
      <c r="G176" s="261"/>
      <c r="H176" s="156"/>
      <c r="I176" s="159"/>
      <c r="J176" s="168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</row>
    <row r="177" spans="1:40" hidden="1" x14ac:dyDescent="0.3">
      <c r="A177" s="28"/>
      <c r="B177" s="32"/>
      <c r="C177" s="28" t="s">
        <v>101</v>
      </c>
      <c r="D177" s="186">
        <f t="shared" si="63"/>
        <v>0</v>
      </c>
      <c r="E177" s="156"/>
      <c r="F177" s="156"/>
      <c r="G177" s="261"/>
      <c r="H177" s="156"/>
      <c r="I177" s="159"/>
      <c r="J177" s="168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</row>
    <row r="178" spans="1:40" hidden="1" x14ac:dyDescent="0.3">
      <c r="A178" s="28"/>
      <c r="B178" s="32"/>
      <c r="C178" s="28" t="s">
        <v>102</v>
      </c>
      <c r="D178" s="186">
        <f t="shared" si="63"/>
        <v>0</v>
      </c>
      <c r="E178" s="156"/>
      <c r="F178" s="156"/>
      <c r="G178" s="261"/>
      <c r="H178" s="156"/>
      <c r="I178" s="159"/>
      <c r="J178" s="168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</row>
    <row r="179" spans="1:40" hidden="1" x14ac:dyDescent="0.3">
      <c r="A179" s="28"/>
      <c r="B179" s="32" t="s">
        <v>123</v>
      </c>
      <c r="C179" s="28"/>
      <c r="D179" s="186">
        <f t="shared" si="63"/>
        <v>0</v>
      </c>
      <c r="E179" s="156"/>
      <c r="F179" s="156"/>
      <c r="G179" s="261"/>
      <c r="H179" s="156"/>
      <c r="I179" s="159"/>
      <c r="J179" s="168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</row>
    <row r="180" spans="1:40" hidden="1" x14ac:dyDescent="0.3">
      <c r="A180" s="28"/>
      <c r="B180" s="32" t="s">
        <v>140</v>
      </c>
      <c r="C180" s="28"/>
      <c r="D180" s="186">
        <f t="shared" si="63"/>
        <v>0</v>
      </c>
      <c r="E180" s="156"/>
      <c r="F180" s="156"/>
      <c r="G180" s="261"/>
      <c r="H180" s="156"/>
      <c r="I180" s="159"/>
      <c r="J180" s="168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</row>
    <row r="181" spans="1:40" ht="10.95" customHeight="1" x14ac:dyDescent="0.3">
      <c r="A181" s="28"/>
      <c r="B181" s="32"/>
      <c r="C181" s="28"/>
      <c r="D181" s="186"/>
      <c r="E181" s="156"/>
      <c r="F181" s="156"/>
      <c r="G181" s="261"/>
      <c r="H181" s="156"/>
      <c r="I181" s="159"/>
      <c r="J181" s="168" t="s">
        <v>31</v>
      </c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G181" s="2"/>
    </row>
    <row r="182" spans="1:40" x14ac:dyDescent="0.3">
      <c r="A182" s="255" t="s">
        <v>99</v>
      </c>
      <c r="B182" s="32"/>
      <c r="C182" s="28"/>
      <c r="D182" s="188"/>
      <c r="E182" s="157"/>
      <c r="F182" s="157"/>
      <c r="G182" s="262"/>
      <c r="H182" s="157"/>
      <c r="I182" s="161"/>
      <c r="J182" s="168" t="s">
        <v>31</v>
      </c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</row>
    <row r="183" spans="1:40" x14ac:dyDescent="0.3">
      <c r="A183" s="28"/>
      <c r="B183" s="28" t="s">
        <v>104</v>
      </c>
      <c r="C183" s="28"/>
      <c r="D183" s="186">
        <f>SUM(J183:AC183)</f>
        <v>28000</v>
      </c>
      <c r="E183" s="156">
        <v>0</v>
      </c>
      <c r="F183" s="82">
        <f t="shared" ref="F183:F185" si="67">D183-E183</f>
        <v>28000</v>
      </c>
      <c r="G183" s="261">
        <v>27000</v>
      </c>
      <c r="H183" s="157">
        <f t="shared" ref="H183:H185" si="68">+D183-G183</f>
        <v>1000</v>
      </c>
      <c r="I183" s="158">
        <f t="shared" ref="I183:I185" si="69">+D183/G183</f>
        <v>1.037037037037037</v>
      </c>
      <c r="J183" s="168" t="s">
        <v>31</v>
      </c>
      <c r="K183" s="157"/>
      <c r="L183" s="157"/>
      <c r="M183" s="157"/>
      <c r="N183" s="157"/>
      <c r="O183" s="157"/>
      <c r="P183" s="157"/>
      <c r="Q183" s="157"/>
      <c r="R183" s="157">
        <v>28000</v>
      </c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</row>
    <row r="184" spans="1:40" x14ac:dyDescent="0.3">
      <c r="A184" s="28"/>
      <c r="B184" s="28" t="s">
        <v>103</v>
      </c>
      <c r="C184" s="28"/>
      <c r="D184" s="186">
        <f>SUM(J184:AC184)</f>
        <v>34812</v>
      </c>
      <c r="E184" s="156">
        <v>34812</v>
      </c>
      <c r="F184" s="82">
        <f t="shared" si="67"/>
        <v>0</v>
      </c>
      <c r="G184" s="261">
        <v>40000</v>
      </c>
      <c r="H184" s="157">
        <f t="shared" si="68"/>
        <v>-5188</v>
      </c>
      <c r="I184" s="158">
        <f t="shared" si="69"/>
        <v>0.87029999999999996</v>
      </c>
      <c r="J184" s="168" t="s">
        <v>31</v>
      </c>
      <c r="K184" s="157" t="s">
        <v>31</v>
      </c>
      <c r="L184" s="157"/>
      <c r="M184" s="157"/>
      <c r="N184" s="157">
        <v>34812</v>
      </c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</row>
    <row r="185" spans="1:40" x14ac:dyDescent="0.3">
      <c r="A185" s="28"/>
      <c r="B185" s="28" t="s">
        <v>189</v>
      </c>
      <c r="C185" s="28"/>
      <c r="D185" s="186">
        <f>SUM(J185:AC185)</f>
        <v>24000</v>
      </c>
      <c r="E185" s="156">
        <v>0</v>
      </c>
      <c r="F185" s="82">
        <f t="shared" si="67"/>
        <v>24000</v>
      </c>
      <c r="G185" s="261">
        <v>16000</v>
      </c>
      <c r="H185" s="157">
        <f t="shared" si="68"/>
        <v>8000</v>
      </c>
      <c r="I185" s="158">
        <f t="shared" si="69"/>
        <v>1.5</v>
      </c>
      <c r="J185" s="168" t="s">
        <v>31</v>
      </c>
      <c r="K185" s="157"/>
      <c r="L185" s="157"/>
      <c r="M185" s="157"/>
      <c r="N185" s="157"/>
      <c r="O185" s="157"/>
      <c r="P185" s="157"/>
      <c r="Q185" s="157">
        <v>24000</v>
      </c>
      <c r="R185" s="157" t="s">
        <v>31</v>
      </c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</row>
    <row r="186" spans="1:40" s="2" customFormat="1" ht="10.95" customHeight="1" x14ac:dyDescent="0.3">
      <c r="A186" s="28"/>
      <c r="B186" s="32"/>
      <c r="C186" s="28"/>
      <c r="D186" s="188"/>
      <c r="E186" s="157"/>
      <c r="F186" s="157"/>
      <c r="G186" s="262"/>
      <c r="H186" s="157"/>
      <c r="I186" s="161"/>
      <c r="J186" s="168" t="s">
        <v>31</v>
      </c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E186" s="3"/>
      <c r="AF186" s="3"/>
      <c r="AG186" s="1"/>
      <c r="AH186" s="1"/>
      <c r="AI186" s="1"/>
      <c r="AJ186" s="1"/>
      <c r="AK186" s="1"/>
      <c r="AL186" s="1"/>
      <c r="AM186" s="1"/>
      <c r="AN186" s="1"/>
    </row>
    <row r="187" spans="1:40" s="2" customFormat="1" x14ac:dyDescent="0.3">
      <c r="A187" s="255" t="s">
        <v>105</v>
      </c>
      <c r="B187" s="32"/>
      <c r="C187" s="28"/>
      <c r="D187" s="188"/>
      <c r="E187" s="157"/>
      <c r="F187" s="157"/>
      <c r="G187" s="262"/>
      <c r="H187" s="157"/>
      <c r="I187" s="161"/>
      <c r="J187" s="168" t="s">
        <v>31</v>
      </c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E187" s="3"/>
      <c r="AF187" s="3"/>
      <c r="AG187" s="1"/>
      <c r="AH187" s="1"/>
      <c r="AI187" s="1"/>
      <c r="AJ187" s="1"/>
      <c r="AK187" s="1"/>
      <c r="AL187" s="1"/>
      <c r="AM187" s="1"/>
      <c r="AN187" s="1"/>
    </row>
    <row r="188" spans="1:40" s="2" customFormat="1" x14ac:dyDescent="0.3">
      <c r="A188" s="28"/>
      <c r="B188" s="28" t="s">
        <v>220</v>
      </c>
      <c r="C188" s="28"/>
      <c r="D188" s="186">
        <f t="shared" ref="D188:D196" si="70">SUM(J188:AC188)</f>
        <v>144540</v>
      </c>
      <c r="E188" s="156">
        <v>198597</v>
      </c>
      <c r="F188" s="82">
        <f t="shared" ref="F188:F196" si="71">D188-E188</f>
        <v>-54057</v>
      </c>
      <c r="G188" s="261">
        <f>121000+3420</f>
        <v>124420</v>
      </c>
      <c r="H188" s="157">
        <f t="shared" ref="H188:H196" si="72">+D188-G188</f>
        <v>20120</v>
      </c>
      <c r="I188" s="158">
        <f t="shared" ref="I188:I196" si="73">+D188/G188</f>
        <v>1.161710335958849</v>
      </c>
      <c r="J188" s="168" t="s">
        <v>31</v>
      </c>
      <c r="K188" s="157" t="s">
        <v>31</v>
      </c>
      <c r="L188" s="157"/>
      <c r="M188" s="157"/>
      <c r="N188" s="157">
        <f>175891-22648-8703</f>
        <v>144540</v>
      </c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E188" s="3"/>
      <c r="AF188" s="3"/>
      <c r="AG188" s="1"/>
      <c r="AH188" s="1"/>
      <c r="AI188" s="1"/>
      <c r="AJ188" s="1"/>
      <c r="AK188" s="1"/>
      <c r="AL188" s="1"/>
      <c r="AM188" s="1"/>
      <c r="AN188" s="1"/>
    </row>
    <row r="189" spans="1:40" s="2" customFormat="1" x14ac:dyDescent="0.3">
      <c r="A189" s="28"/>
      <c r="B189" s="28" t="s">
        <v>221</v>
      </c>
      <c r="C189" s="28"/>
      <c r="D189" s="186">
        <f t="shared" si="70"/>
        <v>68000</v>
      </c>
      <c r="E189" s="156">
        <v>36000</v>
      </c>
      <c r="F189" s="82">
        <f t="shared" si="71"/>
        <v>32000</v>
      </c>
      <c r="G189" s="261">
        <v>69000</v>
      </c>
      <c r="H189" s="157">
        <f t="shared" si="72"/>
        <v>-1000</v>
      </c>
      <c r="I189" s="158">
        <f t="shared" si="73"/>
        <v>0.98550724637681164</v>
      </c>
      <c r="J189" s="168" t="s">
        <v>31</v>
      </c>
      <c r="K189" s="157" t="s">
        <v>31</v>
      </c>
      <c r="L189" s="157"/>
      <c r="M189" s="157"/>
      <c r="N189" s="157"/>
      <c r="O189" s="157" t="s">
        <v>31</v>
      </c>
      <c r="P189" s="157"/>
      <c r="Q189" s="157"/>
      <c r="R189" s="157">
        <v>68000</v>
      </c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E189" s="3"/>
      <c r="AF189" s="3"/>
      <c r="AG189" s="1"/>
      <c r="AH189" s="1"/>
      <c r="AI189" s="1"/>
      <c r="AJ189" s="1"/>
      <c r="AK189" s="1"/>
      <c r="AL189" s="1"/>
      <c r="AM189" s="1"/>
      <c r="AN189" s="1"/>
    </row>
    <row r="190" spans="1:40" s="2" customFormat="1" x14ac:dyDescent="0.3">
      <c r="A190" s="28"/>
      <c r="B190" s="28" t="s">
        <v>222</v>
      </c>
      <c r="C190" s="28"/>
      <c r="D190" s="186">
        <f t="shared" si="70"/>
        <v>55000</v>
      </c>
      <c r="E190" s="156">
        <f>5000+58927</f>
        <v>63927</v>
      </c>
      <c r="F190" s="82">
        <f t="shared" si="71"/>
        <v>-8927</v>
      </c>
      <c r="G190" s="261">
        <v>60000</v>
      </c>
      <c r="H190" s="157">
        <f t="shared" si="72"/>
        <v>-5000</v>
      </c>
      <c r="I190" s="158">
        <f t="shared" si="73"/>
        <v>0.91666666666666663</v>
      </c>
      <c r="J190" s="168" t="s">
        <v>31</v>
      </c>
      <c r="K190" s="157" t="s">
        <v>31</v>
      </c>
      <c r="L190" s="157"/>
      <c r="M190" s="157"/>
      <c r="N190" s="157"/>
      <c r="O190" s="157">
        <v>55000</v>
      </c>
      <c r="P190" s="157"/>
      <c r="Q190" s="157"/>
      <c r="R190" s="157"/>
      <c r="S190" s="157"/>
      <c r="T190" s="157" t="s">
        <v>31</v>
      </c>
      <c r="U190" s="157"/>
      <c r="V190" s="157"/>
      <c r="W190" s="157"/>
      <c r="X190" s="157"/>
      <c r="Y190" s="157"/>
      <c r="Z190" s="157"/>
      <c r="AA190" s="157"/>
      <c r="AB190" s="157"/>
      <c r="AC190" s="157"/>
      <c r="AE190" s="3"/>
      <c r="AF190" s="3"/>
      <c r="AG190" s="1"/>
      <c r="AH190" s="1"/>
      <c r="AI190" s="1"/>
      <c r="AJ190" s="1"/>
      <c r="AK190" s="1"/>
      <c r="AL190" s="1"/>
      <c r="AM190" s="1"/>
      <c r="AN190" s="1"/>
    </row>
    <row r="191" spans="1:40" s="2" customFormat="1" x14ac:dyDescent="0.3">
      <c r="A191" s="28"/>
      <c r="B191" s="28" t="s">
        <v>223</v>
      </c>
      <c r="C191" s="28"/>
      <c r="D191" s="186">
        <f t="shared" si="70"/>
        <v>30000</v>
      </c>
      <c r="E191" s="156">
        <v>38500</v>
      </c>
      <c r="F191" s="82">
        <f t="shared" si="71"/>
        <v>-8500</v>
      </c>
      <c r="G191" s="261">
        <v>30000</v>
      </c>
      <c r="H191" s="157">
        <f t="shared" si="72"/>
        <v>0</v>
      </c>
      <c r="I191" s="158">
        <f t="shared" si="73"/>
        <v>1</v>
      </c>
      <c r="J191" s="168" t="s">
        <v>31</v>
      </c>
      <c r="K191" s="157" t="s">
        <v>31</v>
      </c>
      <c r="L191" s="157"/>
      <c r="M191" s="157"/>
      <c r="N191" s="157">
        <v>30000</v>
      </c>
      <c r="O191" s="157"/>
      <c r="P191" s="157"/>
      <c r="Q191" s="157"/>
      <c r="R191" s="157"/>
      <c r="S191" s="157"/>
      <c r="T191" s="157" t="s">
        <v>31</v>
      </c>
      <c r="U191" s="157"/>
      <c r="V191" s="157"/>
      <c r="W191" s="157"/>
      <c r="X191" s="157"/>
      <c r="Y191" s="157"/>
      <c r="Z191" s="157"/>
      <c r="AA191" s="157"/>
      <c r="AB191" s="157"/>
      <c r="AC191" s="157"/>
      <c r="AE191" s="3"/>
      <c r="AF191" s="3"/>
      <c r="AG191" s="1"/>
      <c r="AH191" s="1"/>
      <c r="AI191" s="1"/>
      <c r="AJ191" s="1"/>
      <c r="AK191" s="1"/>
      <c r="AL191" s="1"/>
      <c r="AM191" s="1"/>
      <c r="AN191" s="1"/>
    </row>
    <row r="192" spans="1:40" s="2" customFormat="1" x14ac:dyDescent="0.3">
      <c r="A192" s="28"/>
      <c r="B192" s="28" t="s">
        <v>224</v>
      </c>
      <c r="C192" s="28"/>
      <c r="D192" s="186">
        <f t="shared" si="70"/>
        <v>15000</v>
      </c>
      <c r="E192" s="156">
        <v>18666</v>
      </c>
      <c r="F192" s="82">
        <f t="shared" si="71"/>
        <v>-3666</v>
      </c>
      <c r="G192" s="261">
        <v>19750</v>
      </c>
      <c r="H192" s="157">
        <f t="shared" si="72"/>
        <v>-4750</v>
      </c>
      <c r="I192" s="158">
        <f t="shared" si="73"/>
        <v>0.759493670886076</v>
      </c>
      <c r="J192" s="168" t="s">
        <v>31</v>
      </c>
      <c r="K192" s="157">
        <v>10000</v>
      </c>
      <c r="L192" s="157"/>
      <c r="M192" s="157">
        <v>5000</v>
      </c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E192" s="3"/>
      <c r="AF192" s="3"/>
      <c r="AG192" s="1"/>
      <c r="AH192" s="1"/>
      <c r="AI192" s="1"/>
      <c r="AJ192" s="1"/>
      <c r="AK192" s="1"/>
      <c r="AL192" s="1"/>
      <c r="AM192" s="1"/>
      <c r="AN192" s="1"/>
    </row>
    <row r="193" spans="1:40" s="2" customFormat="1" x14ac:dyDescent="0.3">
      <c r="A193" s="28"/>
      <c r="B193" s="28" t="s">
        <v>225</v>
      </c>
      <c r="C193" s="28"/>
      <c r="D193" s="186">
        <f t="shared" si="70"/>
        <v>10000</v>
      </c>
      <c r="E193" s="156">
        <v>35647</v>
      </c>
      <c r="F193" s="82">
        <f t="shared" si="71"/>
        <v>-25647</v>
      </c>
      <c r="G193" s="261">
        <v>10000</v>
      </c>
      <c r="H193" s="157">
        <f t="shared" si="72"/>
        <v>0</v>
      </c>
      <c r="I193" s="158">
        <f t="shared" si="73"/>
        <v>1</v>
      </c>
      <c r="J193" s="168" t="s">
        <v>31</v>
      </c>
      <c r="K193" s="157" t="s">
        <v>31</v>
      </c>
      <c r="L193" s="157"/>
      <c r="M193" s="157"/>
      <c r="N193" s="157"/>
      <c r="O193" s="157"/>
      <c r="P193" s="157"/>
      <c r="Q193" s="157">
        <v>10000</v>
      </c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E193" s="3"/>
      <c r="AF193" s="3"/>
      <c r="AG193" s="1"/>
      <c r="AH193" s="1"/>
      <c r="AI193" s="1"/>
      <c r="AJ193" s="1"/>
      <c r="AK193" s="1"/>
      <c r="AL193" s="1"/>
      <c r="AM193" s="1"/>
      <c r="AN193" s="1"/>
    </row>
    <row r="194" spans="1:40" s="2" customFormat="1" x14ac:dyDescent="0.3">
      <c r="A194" s="28"/>
      <c r="B194" s="28" t="s">
        <v>106</v>
      </c>
      <c r="C194" s="28"/>
      <c r="D194" s="186">
        <f t="shared" si="70"/>
        <v>4000</v>
      </c>
      <c r="E194" s="156">
        <v>4000</v>
      </c>
      <c r="F194" s="82">
        <f t="shared" si="71"/>
        <v>0</v>
      </c>
      <c r="G194" s="261">
        <v>4000</v>
      </c>
      <c r="H194" s="157">
        <f t="shared" si="72"/>
        <v>0</v>
      </c>
      <c r="I194" s="158">
        <f t="shared" si="73"/>
        <v>1</v>
      </c>
      <c r="J194" s="168"/>
      <c r="K194" s="157">
        <v>4000</v>
      </c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E194" s="3"/>
      <c r="AF194" s="3"/>
      <c r="AG194" s="1"/>
      <c r="AH194" s="1"/>
      <c r="AI194" s="1"/>
      <c r="AJ194" s="1"/>
      <c r="AK194" s="1"/>
      <c r="AL194" s="1"/>
      <c r="AM194" s="1"/>
      <c r="AN194" s="1"/>
    </row>
    <row r="195" spans="1:40" x14ac:dyDescent="0.3">
      <c r="A195" s="28"/>
      <c r="B195" s="28" t="s">
        <v>107</v>
      </c>
      <c r="C195" s="28"/>
      <c r="D195" s="186">
        <f t="shared" si="70"/>
        <v>1250</v>
      </c>
      <c r="E195" s="156">
        <v>2500</v>
      </c>
      <c r="F195" s="82">
        <f t="shared" si="71"/>
        <v>-1250</v>
      </c>
      <c r="G195" s="261">
        <v>2000</v>
      </c>
      <c r="H195" s="157">
        <f t="shared" si="72"/>
        <v>-750</v>
      </c>
      <c r="I195" s="158">
        <f t="shared" si="73"/>
        <v>0.625</v>
      </c>
      <c r="J195" s="168" t="s">
        <v>31</v>
      </c>
      <c r="K195" s="157">
        <v>1000</v>
      </c>
      <c r="L195" s="157"/>
      <c r="M195" s="157"/>
      <c r="N195" s="157"/>
      <c r="O195" s="157">
        <v>250</v>
      </c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</row>
    <row r="196" spans="1:40" s="2" customFormat="1" x14ac:dyDescent="0.3">
      <c r="A196" s="28"/>
      <c r="B196" s="28" t="s">
        <v>108</v>
      </c>
      <c r="C196" s="28"/>
      <c r="D196" s="186">
        <f t="shared" si="70"/>
        <v>0</v>
      </c>
      <c r="E196" s="156">
        <v>12000</v>
      </c>
      <c r="F196" s="82">
        <f t="shared" si="71"/>
        <v>-12000</v>
      </c>
      <c r="G196" s="261">
        <v>6000</v>
      </c>
      <c r="H196" s="157">
        <f t="shared" si="72"/>
        <v>-6000</v>
      </c>
      <c r="I196" s="158">
        <f t="shared" si="73"/>
        <v>0</v>
      </c>
      <c r="J196" s="168" t="s">
        <v>31</v>
      </c>
      <c r="K196" s="157" t="s">
        <v>31</v>
      </c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E196" s="3"/>
      <c r="AF196" s="3"/>
      <c r="AG196" s="1"/>
      <c r="AH196" s="1"/>
      <c r="AI196" s="1"/>
      <c r="AJ196" s="1"/>
      <c r="AK196" s="1"/>
      <c r="AL196" s="1"/>
      <c r="AM196" s="1"/>
      <c r="AN196" s="1"/>
    </row>
    <row r="197" spans="1:40" ht="10.95" customHeight="1" x14ac:dyDescent="0.3">
      <c r="A197" s="28"/>
      <c r="B197" s="28"/>
      <c r="C197" s="28"/>
      <c r="D197" s="188"/>
      <c r="E197" s="157"/>
      <c r="F197" s="157"/>
      <c r="G197" s="262"/>
      <c r="H197" s="157"/>
      <c r="I197" s="161"/>
      <c r="J197" s="168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</row>
    <row r="198" spans="1:40" s="12" customFormat="1" ht="16.2" thickBot="1" x14ac:dyDescent="0.35">
      <c r="A198" s="66" t="s">
        <v>240</v>
      </c>
      <c r="B198" s="66"/>
      <c r="C198" s="66"/>
      <c r="D198" s="189">
        <f>SUM(D94:D196)</f>
        <v>2862085.67</v>
      </c>
      <c r="E198" s="211">
        <f t="shared" ref="E198:F198" si="74">SUM(E94:E196)</f>
        <v>3030024.43</v>
      </c>
      <c r="F198" s="211">
        <f t="shared" si="74"/>
        <v>-167938.76000000007</v>
      </c>
      <c r="G198" s="98">
        <f t="shared" ref="G198:H198" si="75">SUM(G94:G196)</f>
        <v>3126702</v>
      </c>
      <c r="H198" s="97">
        <f t="shared" si="75"/>
        <v>-264616.33000000007</v>
      </c>
      <c r="I198" s="177">
        <f t="shared" ref="I198" si="76">+D198/G198</f>
        <v>0.915368867899787</v>
      </c>
      <c r="J198" s="97">
        <f t="shared" ref="J198:AC198" si="77">SUM(J93:J196)</f>
        <v>1066431.93</v>
      </c>
      <c r="K198" s="97">
        <f t="shared" si="77"/>
        <v>15000</v>
      </c>
      <c r="L198" s="97">
        <f t="shared" si="77"/>
        <v>93121.170000000013</v>
      </c>
      <c r="M198" s="97">
        <f t="shared" si="77"/>
        <v>101766.68000000001</v>
      </c>
      <c r="N198" s="97">
        <f t="shared" si="77"/>
        <v>209352</v>
      </c>
      <c r="O198" s="97">
        <f t="shared" si="77"/>
        <v>167781.95</v>
      </c>
      <c r="P198" s="97">
        <f t="shared" si="77"/>
        <v>149592.38</v>
      </c>
      <c r="Q198" s="97">
        <f t="shared" si="77"/>
        <v>50095.729999999996</v>
      </c>
      <c r="R198" s="97">
        <f t="shared" si="77"/>
        <v>167577.5</v>
      </c>
      <c r="S198" s="97">
        <f t="shared" si="77"/>
        <v>56929.69</v>
      </c>
      <c r="T198" s="97">
        <f t="shared" si="77"/>
        <v>81908.709999999992</v>
      </c>
      <c r="U198" s="97">
        <f t="shared" si="77"/>
        <v>38038.959999999999</v>
      </c>
      <c r="V198" s="97">
        <f t="shared" si="77"/>
        <v>12487.69</v>
      </c>
      <c r="W198" s="97">
        <f t="shared" si="77"/>
        <v>11205.86</v>
      </c>
      <c r="X198" s="97">
        <f t="shared" si="77"/>
        <v>81645.259999999995</v>
      </c>
      <c r="Y198" s="97">
        <f t="shared" si="77"/>
        <v>111907.75</v>
      </c>
      <c r="Z198" s="97">
        <f t="shared" si="77"/>
        <v>233320.57</v>
      </c>
      <c r="AA198" s="97">
        <f t="shared" si="77"/>
        <v>168433.94</v>
      </c>
      <c r="AB198" s="97">
        <f t="shared" si="77"/>
        <v>25917.09</v>
      </c>
      <c r="AC198" s="97">
        <f t="shared" si="77"/>
        <v>19570.810000000001</v>
      </c>
      <c r="AD198" s="13"/>
      <c r="AE198" s="14"/>
      <c r="AF198" s="14"/>
    </row>
    <row r="199" spans="1:40" s="20" customFormat="1" ht="15" hidden="1" thickTop="1" x14ac:dyDescent="0.3">
      <c r="A199" s="28"/>
      <c r="B199" s="28"/>
      <c r="C199" s="28"/>
      <c r="D199" s="190"/>
      <c r="E199" s="162"/>
      <c r="F199" s="162"/>
      <c r="G199" s="262"/>
      <c r="H199" s="162"/>
      <c r="I199" s="163"/>
      <c r="J199" s="168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5"/>
      <c r="AE199" s="21"/>
      <c r="AF199" s="21"/>
    </row>
    <row r="200" spans="1:40" s="20" customFormat="1" ht="15" hidden="1" thickTop="1" x14ac:dyDescent="0.3">
      <c r="A200" s="28"/>
      <c r="B200" s="28"/>
      <c r="C200" s="28"/>
      <c r="D200" s="190"/>
      <c r="E200" s="162"/>
      <c r="F200" s="162"/>
      <c r="G200" s="262"/>
      <c r="H200" s="162"/>
      <c r="I200" s="163"/>
      <c r="J200" s="168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  <c r="AA200" s="162"/>
      <c r="AB200" s="162"/>
      <c r="AC200" s="162"/>
      <c r="AD200" s="15"/>
      <c r="AE200" s="21"/>
      <c r="AF200" s="21"/>
    </row>
    <row r="201" spans="1:40" ht="10.95" customHeight="1" thickTop="1" x14ac:dyDescent="0.3">
      <c r="A201" s="28"/>
      <c r="B201" s="32"/>
      <c r="C201" s="28"/>
      <c r="D201" s="190"/>
      <c r="E201" s="162"/>
      <c r="F201" s="162"/>
      <c r="G201" s="262"/>
      <c r="H201" s="162"/>
      <c r="I201" s="163"/>
      <c r="J201" s="168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</row>
    <row r="202" spans="1:40" ht="16.2" thickBot="1" x14ac:dyDescent="0.35">
      <c r="A202" s="66" t="s">
        <v>241</v>
      </c>
      <c r="B202" s="66"/>
      <c r="C202" s="176"/>
      <c r="D202" s="189">
        <f>+D90-D198</f>
        <v>-0.10999999986961484</v>
      </c>
      <c r="E202" s="97"/>
      <c r="F202" s="97"/>
      <c r="G202" s="98">
        <f>+G90-G198</f>
        <v>0</v>
      </c>
      <c r="H202" s="97">
        <f>+H90-H198</f>
        <v>-0.1099999999278225</v>
      </c>
      <c r="I202" s="182"/>
      <c r="J202" s="178">
        <f t="shared" ref="J202:AC202" si="78">+J90-J198</f>
        <v>1320586.8900000004</v>
      </c>
      <c r="K202" s="97">
        <f t="shared" si="78"/>
        <v>-15000</v>
      </c>
      <c r="L202" s="97">
        <f t="shared" si="78"/>
        <v>-33786.170000000013</v>
      </c>
      <c r="M202" s="97">
        <f t="shared" si="78"/>
        <v>-36666.680000000008</v>
      </c>
      <c r="N202" s="97">
        <f t="shared" si="78"/>
        <v>-174540</v>
      </c>
      <c r="O202" s="97">
        <f t="shared" si="78"/>
        <v>-152656.95000000001</v>
      </c>
      <c r="P202" s="97">
        <f t="shared" si="78"/>
        <v>-149467.38</v>
      </c>
      <c r="Q202" s="97">
        <f t="shared" si="78"/>
        <v>-16095.729999999996</v>
      </c>
      <c r="R202" s="97">
        <f t="shared" si="78"/>
        <v>-107577.5</v>
      </c>
      <c r="S202" s="97">
        <f t="shared" si="78"/>
        <v>-56929.69</v>
      </c>
      <c r="T202" s="97">
        <f t="shared" si="78"/>
        <v>37392.770000000004</v>
      </c>
      <c r="U202" s="97">
        <f t="shared" si="78"/>
        <v>9661.0400000000009</v>
      </c>
      <c r="V202" s="97">
        <f t="shared" si="78"/>
        <v>-12487.69</v>
      </c>
      <c r="W202" s="97">
        <f t="shared" si="78"/>
        <v>-1855.8600000000006</v>
      </c>
      <c r="X202" s="97">
        <f t="shared" si="78"/>
        <v>-57013.999999999993</v>
      </c>
      <c r="Y202" s="97">
        <f t="shared" si="78"/>
        <v>-106320.75</v>
      </c>
      <c r="Z202" s="97">
        <f t="shared" si="78"/>
        <v>-233320.57</v>
      </c>
      <c r="AA202" s="97">
        <f t="shared" si="78"/>
        <v>-168433.94</v>
      </c>
      <c r="AB202" s="97">
        <f t="shared" si="78"/>
        <v>-25917.09</v>
      </c>
      <c r="AC202" s="97">
        <f t="shared" si="78"/>
        <v>-19570.810000000001</v>
      </c>
    </row>
    <row r="203" spans="1:40" ht="43.2" customHeight="1" thickTop="1" thickBot="1" x14ac:dyDescent="0.35">
      <c r="A203" s="28"/>
      <c r="B203" s="32"/>
      <c r="C203" s="28"/>
      <c r="D203" s="150" t="s">
        <v>31</v>
      </c>
      <c r="E203" s="150"/>
      <c r="F203" s="150"/>
      <c r="G203" s="169"/>
      <c r="H203" s="150"/>
      <c r="I203" s="149"/>
      <c r="J203" s="169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  <c r="AA203" s="150"/>
      <c r="AB203" s="150"/>
      <c r="AC203" s="150"/>
    </row>
    <row r="204" spans="1:40" ht="19.8" customHeight="1" x14ac:dyDescent="0.3">
      <c r="A204" s="252" t="s">
        <v>243</v>
      </c>
      <c r="B204" s="268"/>
      <c r="C204" s="253"/>
      <c r="D204" s="272"/>
      <c r="E204" s="254"/>
      <c r="F204" s="254"/>
      <c r="G204" s="246"/>
      <c r="H204" s="254"/>
      <c r="I204" s="269"/>
      <c r="J204" s="229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  <c r="AA204" s="150"/>
      <c r="AB204" s="150"/>
      <c r="AC204" s="150"/>
    </row>
    <row r="205" spans="1:40" x14ac:dyDescent="0.3">
      <c r="A205" s="264" t="s">
        <v>109</v>
      </c>
      <c r="B205" s="265"/>
      <c r="C205" s="266"/>
      <c r="D205" s="194">
        <f>SUM(J205:AC205)</f>
        <v>2457222.56</v>
      </c>
      <c r="E205" s="210">
        <f>SUM(E9:E71)</f>
        <v>2462381</v>
      </c>
      <c r="F205" s="267">
        <f t="shared" ref="F205:F208" si="79">D205-E205</f>
        <v>-5158.4399999999441</v>
      </c>
      <c r="G205" s="262">
        <f>SUM(G9:G69)</f>
        <v>2675020</v>
      </c>
      <c r="H205" s="162">
        <f t="shared" ref="H205:H208" si="80">+D205-G205</f>
        <v>-217797.43999999994</v>
      </c>
      <c r="I205" s="200">
        <f t="shared" ref="I205:I211" si="81">+D205/G205</f>
        <v>0.91858100500183182</v>
      </c>
      <c r="J205" s="162">
        <f t="shared" ref="J205:AC205" si="82">SUM(J9:J69)</f>
        <v>1982155.82</v>
      </c>
      <c r="K205" s="157">
        <f t="shared" si="82"/>
        <v>0</v>
      </c>
      <c r="L205" s="157">
        <f t="shared" si="82"/>
        <v>59335</v>
      </c>
      <c r="M205" s="157">
        <f t="shared" si="82"/>
        <v>65100</v>
      </c>
      <c r="N205" s="157">
        <f t="shared" si="82"/>
        <v>34812</v>
      </c>
      <c r="O205" s="157">
        <f t="shared" si="82"/>
        <v>15125</v>
      </c>
      <c r="P205" s="157">
        <f t="shared" si="82"/>
        <v>125</v>
      </c>
      <c r="Q205" s="157">
        <f t="shared" si="82"/>
        <v>34000</v>
      </c>
      <c r="R205" s="157">
        <f t="shared" si="82"/>
        <v>60000</v>
      </c>
      <c r="S205" s="157">
        <f t="shared" si="82"/>
        <v>0</v>
      </c>
      <c r="T205" s="157">
        <f t="shared" si="82"/>
        <v>119301.48</v>
      </c>
      <c r="U205" s="157">
        <f t="shared" si="82"/>
        <v>47700</v>
      </c>
      <c r="V205" s="157">
        <f t="shared" si="82"/>
        <v>0</v>
      </c>
      <c r="W205" s="157">
        <f t="shared" si="82"/>
        <v>9350</v>
      </c>
      <c r="X205" s="157">
        <f t="shared" si="82"/>
        <v>24631.260000000002</v>
      </c>
      <c r="Y205" s="157">
        <f t="shared" si="82"/>
        <v>5587</v>
      </c>
      <c r="Z205" s="157">
        <f t="shared" si="82"/>
        <v>0</v>
      </c>
      <c r="AA205" s="157">
        <f t="shared" si="82"/>
        <v>0</v>
      </c>
      <c r="AB205" s="157">
        <f t="shared" si="82"/>
        <v>0</v>
      </c>
      <c r="AC205" s="157">
        <f t="shared" si="82"/>
        <v>0</v>
      </c>
    </row>
    <row r="206" spans="1:40" s="2" customFormat="1" x14ac:dyDescent="0.3">
      <c r="A206" s="264" t="s">
        <v>110</v>
      </c>
      <c r="B206" s="265"/>
      <c r="C206" s="266"/>
      <c r="D206" s="194">
        <f>SUM(J206:AC206)</f>
        <v>0</v>
      </c>
      <c r="E206" s="210">
        <f>SUM(K206:AD206)</f>
        <v>0</v>
      </c>
      <c r="F206" s="267">
        <f t="shared" si="79"/>
        <v>0</v>
      </c>
      <c r="G206" s="262">
        <f>SUM(G76:G83)</f>
        <v>499</v>
      </c>
      <c r="H206" s="162">
        <f t="shared" si="80"/>
        <v>-499</v>
      </c>
      <c r="I206" s="200">
        <f t="shared" si="81"/>
        <v>0</v>
      </c>
      <c r="J206" s="162">
        <f t="shared" ref="J206:AC206" si="83">SUM(J76:J83)</f>
        <v>0</v>
      </c>
      <c r="K206" s="157">
        <f t="shared" si="83"/>
        <v>0</v>
      </c>
      <c r="L206" s="157">
        <f t="shared" si="83"/>
        <v>0</v>
      </c>
      <c r="M206" s="157">
        <f t="shared" si="83"/>
        <v>0</v>
      </c>
      <c r="N206" s="157">
        <f t="shared" si="83"/>
        <v>0</v>
      </c>
      <c r="O206" s="157">
        <f t="shared" si="83"/>
        <v>0</v>
      </c>
      <c r="P206" s="157">
        <f t="shared" si="83"/>
        <v>0</v>
      </c>
      <c r="Q206" s="157">
        <f t="shared" si="83"/>
        <v>0</v>
      </c>
      <c r="R206" s="157">
        <f t="shared" si="83"/>
        <v>0</v>
      </c>
      <c r="S206" s="157">
        <f t="shared" si="83"/>
        <v>0</v>
      </c>
      <c r="T206" s="157">
        <f t="shared" si="83"/>
        <v>0</v>
      </c>
      <c r="U206" s="157">
        <f t="shared" si="83"/>
        <v>0</v>
      </c>
      <c r="V206" s="157">
        <f t="shared" si="83"/>
        <v>0</v>
      </c>
      <c r="W206" s="157">
        <f t="shared" si="83"/>
        <v>0</v>
      </c>
      <c r="X206" s="157">
        <f t="shared" si="83"/>
        <v>0</v>
      </c>
      <c r="Y206" s="157">
        <f t="shared" si="83"/>
        <v>0</v>
      </c>
      <c r="Z206" s="157">
        <f t="shared" si="83"/>
        <v>0</v>
      </c>
      <c r="AA206" s="157">
        <f t="shared" si="83"/>
        <v>0</v>
      </c>
      <c r="AB206" s="157">
        <f t="shared" si="83"/>
        <v>0</v>
      </c>
      <c r="AC206" s="157">
        <f t="shared" si="83"/>
        <v>0</v>
      </c>
      <c r="AE206" s="3"/>
      <c r="AF206" s="3"/>
      <c r="AG206" s="1"/>
      <c r="AH206" s="1"/>
      <c r="AI206" s="1"/>
      <c r="AJ206" s="1"/>
      <c r="AK206" s="1"/>
      <c r="AL206" s="1"/>
      <c r="AM206" s="1"/>
      <c r="AN206" s="1"/>
    </row>
    <row r="207" spans="1:40" s="2" customFormat="1" hidden="1" x14ac:dyDescent="0.3">
      <c r="A207" s="264" t="s">
        <v>121</v>
      </c>
      <c r="B207" s="265"/>
      <c r="C207" s="266"/>
      <c r="D207" s="194">
        <f>SUM(J207:AC207)</f>
        <v>0</v>
      </c>
      <c r="E207" s="210">
        <f>SUM(K207:AD207)</f>
        <v>0</v>
      </c>
      <c r="F207" s="267">
        <f t="shared" si="79"/>
        <v>0</v>
      </c>
      <c r="G207" s="262">
        <f>+G71</f>
        <v>0</v>
      </c>
      <c r="H207" s="162">
        <f t="shared" si="80"/>
        <v>0</v>
      </c>
      <c r="I207" s="200" t="e">
        <f t="shared" si="81"/>
        <v>#DIV/0!</v>
      </c>
      <c r="J207" s="162">
        <f>+J71</f>
        <v>0</v>
      </c>
      <c r="K207" s="157">
        <v>0</v>
      </c>
      <c r="L207" s="157">
        <f t="shared" ref="L207:AC207" si="84">+L71</f>
        <v>0</v>
      </c>
      <c r="M207" s="157">
        <f t="shared" si="84"/>
        <v>0</v>
      </c>
      <c r="N207" s="157">
        <f t="shared" si="84"/>
        <v>0</v>
      </c>
      <c r="O207" s="157">
        <f t="shared" si="84"/>
        <v>0</v>
      </c>
      <c r="P207" s="157">
        <f t="shared" si="84"/>
        <v>0</v>
      </c>
      <c r="Q207" s="157">
        <f t="shared" si="84"/>
        <v>0</v>
      </c>
      <c r="R207" s="157">
        <f t="shared" si="84"/>
        <v>0</v>
      </c>
      <c r="S207" s="157">
        <f t="shared" si="84"/>
        <v>0</v>
      </c>
      <c r="T207" s="157">
        <f t="shared" si="84"/>
        <v>0</v>
      </c>
      <c r="U207" s="157">
        <f t="shared" si="84"/>
        <v>0</v>
      </c>
      <c r="V207" s="157">
        <f t="shared" si="84"/>
        <v>0</v>
      </c>
      <c r="W207" s="157">
        <f t="shared" si="84"/>
        <v>0</v>
      </c>
      <c r="X207" s="157">
        <f t="shared" si="84"/>
        <v>0</v>
      </c>
      <c r="Y207" s="157">
        <f t="shared" si="84"/>
        <v>0</v>
      </c>
      <c r="Z207" s="157">
        <f t="shared" si="84"/>
        <v>0</v>
      </c>
      <c r="AA207" s="157">
        <f t="shared" si="84"/>
        <v>0</v>
      </c>
      <c r="AB207" s="157">
        <f t="shared" si="84"/>
        <v>0</v>
      </c>
      <c r="AC207" s="157">
        <f t="shared" si="84"/>
        <v>0</v>
      </c>
      <c r="AE207" s="3"/>
      <c r="AF207" s="3"/>
      <c r="AG207" s="1"/>
      <c r="AH207" s="1"/>
      <c r="AI207" s="1"/>
      <c r="AJ207" s="1"/>
      <c r="AK207" s="1"/>
      <c r="AL207" s="1"/>
      <c r="AM207" s="1"/>
      <c r="AN207" s="1"/>
    </row>
    <row r="208" spans="1:40" s="2" customFormat="1" x14ac:dyDescent="0.3">
      <c r="A208" s="264" t="s">
        <v>111</v>
      </c>
      <c r="B208" s="265"/>
      <c r="C208" s="266"/>
      <c r="D208" s="194">
        <f>SUM(J208:AC208)</f>
        <v>404863</v>
      </c>
      <c r="E208" s="210">
        <f>SUM(E83:E88)</f>
        <v>567643</v>
      </c>
      <c r="F208" s="267">
        <f t="shared" si="79"/>
        <v>-162780</v>
      </c>
      <c r="G208" s="262">
        <f>SUM(G86:G88)</f>
        <v>451183</v>
      </c>
      <c r="H208" s="162">
        <f t="shared" si="80"/>
        <v>-46320</v>
      </c>
      <c r="I208" s="200">
        <f t="shared" si="81"/>
        <v>0.89733655745008123</v>
      </c>
      <c r="J208" s="162">
        <f t="shared" ref="J208:AC208" si="85">SUM(J86:J88)</f>
        <v>404863</v>
      </c>
      <c r="K208" s="157">
        <f t="shared" si="85"/>
        <v>0</v>
      </c>
      <c r="L208" s="157">
        <f t="shared" si="85"/>
        <v>0</v>
      </c>
      <c r="M208" s="157">
        <f t="shared" si="85"/>
        <v>0</v>
      </c>
      <c r="N208" s="157">
        <f t="shared" si="85"/>
        <v>0</v>
      </c>
      <c r="O208" s="157">
        <f t="shared" si="85"/>
        <v>0</v>
      </c>
      <c r="P208" s="157">
        <f t="shared" si="85"/>
        <v>0</v>
      </c>
      <c r="Q208" s="157">
        <f t="shared" si="85"/>
        <v>0</v>
      </c>
      <c r="R208" s="157">
        <f t="shared" si="85"/>
        <v>0</v>
      </c>
      <c r="S208" s="157">
        <f t="shared" si="85"/>
        <v>0</v>
      </c>
      <c r="T208" s="157">
        <f t="shared" si="85"/>
        <v>0</v>
      </c>
      <c r="U208" s="157">
        <f t="shared" si="85"/>
        <v>0</v>
      </c>
      <c r="V208" s="157">
        <f t="shared" si="85"/>
        <v>0</v>
      </c>
      <c r="W208" s="157">
        <f t="shared" si="85"/>
        <v>0</v>
      </c>
      <c r="X208" s="157">
        <f t="shared" si="85"/>
        <v>0</v>
      </c>
      <c r="Y208" s="157">
        <f t="shared" si="85"/>
        <v>0</v>
      </c>
      <c r="Z208" s="157">
        <f t="shared" si="85"/>
        <v>0</v>
      </c>
      <c r="AA208" s="157">
        <f t="shared" si="85"/>
        <v>0</v>
      </c>
      <c r="AB208" s="157">
        <f t="shared" si="85"/>
        <v>0</v>
      </c>
      <c r="AC208" s="157">
        <f t="shared" si="85"/>
        <v>0</v>
      </c>
      <c r="AE208" s="3"/>
      <c r="AF208" s="3"/>
      <c r="AG208" s="1"/>
      <c r="AH208" s="1"/>
      <c r="AI208" s="1"/>
      <c r="AJ208" s="1"/>
      <c r="AK208" s="1"/>
      <c r="AL208" s="1"/>
      <c r="AM208" s="1"/>
      <c r="AN208" s="1"/>
    </row>
    <row r="209" spans="1:40" s="2" customFormat="1" x14ac:dyDescent="0.3">
      <c r="A209" s="201" t="s">
        <v>112</v>
      </c>
      <c r="B209" s="183"/>
      <c r="C209" s="184"/>
      <c r="D209" s="187">
        <f>+D208+D206+D205+D207</f>
        <v>2862085.56</v>
      </c>
      <c r="E209" s="88">
        <f>+E208+E206+E205+E207</f>
        <v>3030024</v>
      </c>
      <c r="F209" s="88">
        <f>+F208+F206+F205+F207</f>
        <v>-167938.43999999994</v>
      </c>
      <c r="G209" s="86">
        <f>+G208+G206+G205+G207</f>
        <v>3126702</v>
      </c>
      <c r="H209" s="88">
        <f>+H208+H206+H205+H207</f>
        <v>-264616.43999999994</v>
      </c>
      <c r="I209" s="74">
        <f t="shared" si="81"/>
        <v>0.91536883271894798</v>
      </c>
      <c r="J209" s="88">
        <f t="shared" ref="J209:AC209" si="86">+J208+J206+J205+J207</f>
        <v>2387018.8200000003</v>
      </c>
      <c r="K209" s="88">
        <f t="shared" si="86"/>
        <v>0</v>
      </c>
      <c r="L209" s="88">
        <f t="shared" si="86"/>
        <v>59335</v>
      </c>
      <c r="M209" s="88">
        <f t="shared" si="86"/>
        <v>65100</v>
      </c>
      <c r="N209" s="88">
        <f t="shared" si="86"/>
        <v>34812</v>
      </c>
      <c r="O209" s="88">
        <f t="shared" si="86"/>
        <v>15125</v>
      </c>
      <c r="P209" s="88">
        <f t="shared" si="86"/>
        <v>125</v>
      </c>
      <c r="Q209" s="88">
        <f t="shared" si="86"/>
        <v>34000</v>
      </c>
      <c r="R209" s="88">
        <f t="shared" si="86"/>
        <v>60000</v>
      </c>
      <c r="S209" s="88">
        <f t="shared" si="86"/>
        <v>0</v>
      </c>
      <c r="T209" s="88">
        <f t="shared" si="86"/>
        <v>119301.48</v>
      </c>
      <c r="U209" s="88">
        <f t="shared" si="86"/>
        <v>47700</v>
      </c>
      <c r="V209" s="88">
        <f t="shared" si="86"/>
        <v>0</v>
      </c>
      <c r="W209" s="88">
        <f t="shared" si="86"/>
        <v>9350</v>
      </c>
      <c r="X209" s="88">
        <f t="shared" si="86"/>
        <v>24631.260000000002</v>
      </c>
      <c r="Y209" s="88">
        <f t="shared" si="86"/>
        <v>5587</v>
      </c>
      <c r="Z209" s="88">
        <f t="shared" si="86"/>
        <v>0</v>
      </c>
      <c r="AA209" s="88">
        <f t="shared" si="86"/>
        <v>0</v>
      </c>
      <c r="AB209" s="88">
        <f t="shared" si="86"/>
        <v>0</v>
      </c>
      <c r="AC209" s="88">
        <f t="shared" si="86"/>
        <v>0</v>
      </c>
      <c r="AE209" s="3"/>
      <c r="AF209" s="3"/>
      <c r="AG209" s="1"/>
      <c r="AH209" s="1"/>
      <c r="AI209" s="1"/>
      <c r="AJ209" s="1"/>
      <c r="AK209" s="1"/>
      <c r="AL209" s="1"/>
      <c r="AM209" s="1"/>
      <c r="AN209" s="1"/>
    </row>
    <row r="210" spans="1:40" s="2" customFormat="1" ht="12" customHeight="1" x14ac:dyDescent="0.3">
      <c r="A210" s="199"/>
      <c r="B210" s="270"/>
      <c r="C210" s="266"/>
      <c r="D210" s="190"/>
      <c r="E210" s="162"/>
      <c r="F210" s="162"/>
      <c r="G210" s="262"/>
      <c r="H210" s="162"/>
      <c r="I210" s="202"/>
      <c r="J210" s="162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E210" s="3"/>
      <c r="AF210" s="3"/>
      <c r="AG210" s="1"/>
      <c r="AH210" s="1"/>
      <c r="AI210" s="1"/>
      <c r="AJ210" s="1"/>
      <c r="AK210" s="1"/>
      <c r="AL210" s="1"/>
      <c r="AM210" s="1"/>
      <c r="AN210" s="1"/>
    </row>
    <row r="211" spans="1:40" s="2" customFormat="1" x14ac:dyDescent="0.3">
      <c r="A211" s="201" t="s">
        <v>113</v>
      </c>
      <c r="B211" s="183"/>
      <c r="C211" s="184"/>
      <c r="D211" s="187">
        <f>SUM(D198)</f>
        <v>2862085.67</v>
      </c>
      <c r="E211" s="88">
        <f>SUM(E198)</f>
        <v>3030024.43</v>
      </c>
      <c r="F211" s="88">
        <f>SUM(F198)</f>
        <v>-167938.76000000007</v>
      </c>
      <c r="G211" s="86">
        <f>SUM(G198)</f>
        <v>3126702</v>
      </c>
      <c r="H211" s="88">
        <f>SUM(H198)</f>
        <v>-264616.33000000007</v>
      </c>
      <c r="I211" s="74">
        <f t="shared" si="81"/>
        <v>0.915368867899787</v>
      </c>
      <c r="J211" s="88">
        <f t="shared" ref="J211:AC211" si="87">SUM(J198)</f>
        <v>1066431.93</v>
      </c>
      <c r="K211" s="88">
        <f t="shared" si="87"/>
        <v>15000</v>
      </c>
      <c r="L211" s="88">
        <f t="shared" si="87"/>
        <v>93121.170000000013</v>
      </c>
      <c r="M211" s="88">
        <f t="shared" si="87"/>
        <v>101766.68000000001</v>
      </c>
      <c r="N211" s="88">
        <f t="shared" si="87"/>
        <v>209352</v>
      </c>
      <c r="O211" s="88">
        <f t="shared" si="87"/>
        <v>167781.95</v>
      </c>
      <c r="P211" s="88">
        <f t="shared" si="87"/>
        <v>149592.38</v>
      </c>
      <c r="Q211" s="88">
        <f t="shared" si="87"/>
        <v>50095.729999999996</v>
      </c>
      <c r="R211" s="88">
        <f t="shared" si="87"/>
        <v>167577.5</v>
      </c>
      <c r="S211" s="88">
        <f t="shared" si="87"/>
        <v>56929.69</v>
      </c>
      <c r="T211" s="88">
        <f t="shared" si="87"/>
        <v>81908.709999999992</v>
      </c>
      <c r="U211" s="88">
        <f t="shared" si="87"/>
        <v>38038.959999999999</v>
      </c>
      <c r="V211" s="88">
        <f t="shared" si="87"/>
        <v>12487.69</v>
      </c>
      <c r="W211" s="88">
        <f t="shared" si="87"/>
        <v>11205.86</v>
      </c>
      <c r="X211" s="88">
        <f t="shared" si="87"/>
        <v>81645.259999999995</v>
      </c>
      <c r="Y211" s="88">
        <f t="shared" si="87"/>
        <v>111907.75</v>
      </c>
      <c r="Z211" s="88">
        <f t="shared" si="87"/>
        <v>233320.57</v>
      </c>
      <c r="AA211" s="88">
        <f t="shared" si="87"/>
        <v>168433.94</v>
      </c>
      <c r="AB211" s="88">
        <f t="shared" si="87"/>
        <v>25917.09</v>
      </c>
      <c r="AC211" s="88">
        <f t="shared" si="87"/>
        <v>19570.810000000001</v>
      </c>
      <c r="AE211" s="3"/>
      <c r="AF211" s="3"/>
      <c r="AG211" s="1"/>
      <c r="AH211" s="1"/>
      <c r="AI211" s="1"/>
      <c r="AJ211" s="1"/>
      <c r="AK211" s="1"/>
      <c r="AL211" s="1"/>
      <c r="AM211" s="1"/>
      <c r="AN211" s="1"/>
    </row>
    <row r="212" spans="1:40" s="2" customFormat="1" ht="12" customHeight="1" x14ac:dyDescent="0.3">
      <c r="A212" s="203"/>
      <c r="B212" s="270"/>
      <c r="C212" s="266"/>
      <c r="D212" s="190"/>
      <c r="E212" s="162"/>
      <c r="F212" s="162"/>
      <c r="G212" s="262"/>
      <c r="H212" s="162"/>
      <c r="I212" s="202"/>
      <c r="J212" s="162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E212" s="3"/>
      <c r="AF212" s="3"/>
      <c r="AG212" s="1"/>
      <c r="AH212" s="1"/>
      <c r="AI212" s="1"/>
      <c r="AJ212" s="1"/>
      <c r="AK212" s="1"/>
      <c r="AL212" s="1"/>
      <c r="AM212" s="1"/>
      <c r="AN212" s="1"/>
    </row>
    <row r="213" spans="1:40" s="2" customFormat="1" ht="16.2" thickBot="1" x14ac:dyDescent="0.35">
      <c r="A213" s="247" t="s">
        <v>135</v>
      </c>
      <c r="B213" s="248"/>
      <c r="C213" s="256"/>
      <c r="D213" s="189">
        <f>+D209-D211</f>
        <v>-0.10999999986961484</v>
      </c>
      <c r="E213" s="97">
        <f>+E209-E211</f>
        <v>-0.43000000016763806</v>
      </c>
      <c r="F213" s="97">
        <f>+F209-F211</f>
        <v>0.32000000012340024</v>
      </c>
      <c r="G213" s="98">
        <f t="shared" ref="G213:H213" si="88">+G209-G211</f>
        <v>0</v>
      </c>
      <c r="H213" s="97">
        <f t="shared" si="88"/>
        <v>-0.10999999986961484</v>
      </c>
      <c r="I213" s="257"/>
      <c r="J213" s="97">
        <f t="shared" ref="J213:AC213" si="89">+J209-J211-0.45</f>
        <v>1320586.4400000004</v>
      </c>
      <c r="K213" s="97">
        <f t="shared" si="89"/>
        <v>-15000.45</v>
      </c>
      <c r="L213" s="97">
        <f t="shared" si="89"/>
        <v>-33786.62000000001</v>
      </c>
      <c r="M213" s="97">
        <f t="shared" si="89"/>
        <v>-36667.130000000005</v>
      </c>
      <c r="N213" s="97">
        <f t="shared" si="89"/>
        <v>-174540.45</v>
      </c>
      <c r="O213" s="97">
        <f t="shared" si="89"/>
        <v>-152657.40000000002</v>
      </c>
      <c r="P213" s="97">
        <f t="shared" si="89"/>
        <v>-149467.83000000002</v>
      </c>
      <c r="Q213" s="97">
        <f t="shared" si="89"/>
        <v>-16096.179999999997</v>
      </c>
      <c r="R213" s="97">
        <f t="shared" si="89"/>
        <v>-107577.95</v>
      </c>
      <c r="S213" s="97">
        <f t="shared" si="89"/>
        <v>-56930.14</v>
      </c>
      <c r="T213" s="97">
        <f t="shared" si="89"/>
        <v>37392.320000000007</v>
      </c>
      <c r="U213" s="97">
        <f t="shared" si="89"/>
        <v>9660.59</v>
      </c>
      <c r="V213" s="97">
        <f t="shared" si="89"/>
        <v>-12488.140000000001</v>
      </c>
      <c r="W213" s="97">
        <f t="shared" si="89"/>
        <v>-1856.3100000000006</v>
      </c>
      <c r="X213" s="97">
        <f t="shared" si="89"/>
        <v>-57014.44999999999</v>
      </c>
      <c r="Y213" s="97">
        <f t="shared" si="89"/>
        <v>-106321.2</v>
      </c>
      <c r="Z213" s="97">
        <f t="shared" si="89"/>
        <v>-233321.02000000002</v>
      </c>
      <c r="AA213" s="97">
        <f t="shared" si="89"/>
        <v>-168434.39</v>
      </c>
      <c r="AB213" s="97">
        <f t="shared" si="89"/>
        <v>-25917.54</v>
      </c>
      <c r="AC213" s="97">
        <f t="shared" si="89"/>
        <v>-19571.260000000002</v>
      </c>
      <c r="AE213" s="3"/>
      <c r="AF213" s="3"/>
      <c r="AG213" s="1"/>
      <c r="AH213" s="1"/>
      <c r="AI213" s="1"/>
      <c r="AJ213" s="1"/>
      <c r="AK213" s="1"/>
      <c r="AL213" s="1"/>
      <c r="AM213" s="1"/>
      <c r="AN213" s="1"/>
    </row>
    <row r="214" spans="1:40" s="2" customFormat="1" ht="16.2" thickTop="1" x14ac:dyDescent="0.3">
      <c r="A214" s="28"/>
      <c r="B214" s="32"/>
      <c r="C214" s="28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E214" s="3"/>
      <c r="AF214" s="3"/>
      <c r="AG214" s="1"/>
      <c r="AH214" s="1"/>
      <c r="AI214" s="1"/>
      <c r="AJ214" s="1"/>
      <c r="AK214" s="1"/>
      <c r="AL214" s="1"/>
      <c r="AM214" s="1"/>
      <c r="AN214" s="1"/>
    </row>
    <row r="215" spans="1:40" x14ac:dyDescent="0.3">
      <c r="A215" s="151"/>
      <c r="B215" s="151"/>
      <c r="C215" s="151"/>
      <c r="D215" s="151"/>
      <c r="E215" s="151"/>
      <c r="F215" s="151"/>
      <c r="G215" s="151"/>
      <c r="H215" s="151"/>
      <c r="I215" s="151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</row>
    <row r="216" spans="1:40" x14ac:dyDescent="0.3">
      <c r="A216" s="28"/>
      <c r="B216" s="32"/>
      <c r="C216" s="28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</row>
    <row r="217" spans="1:40" x14ac:dyDescent="0.3">
      <c r="A217" s="16"/>
      <c r="C217" s="16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</row>
    <row r="218" spans="1:40" x14ac:dyDescent="0.3">
      <c r="A218" s="16"/>
      <c r="C218" s="16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</row>
  </sheetData>
  <mergeCells count="8">
    <mergeCell ref="A92:C92"/>
    <mergeCell ref="A5:C5"/>
    <mergeCell ref="A7:C7"/>
    <mergeCell ref="A1:I1"/>
    <mergeCell ref="A2:I2"/>
    <mergeCell ref="A3:I3"/>
    <mergeCell ref="D4:F4"/>
    <mergeCell ref="G4:I4"/>
  </mergeCells>
  <printOptions horizontalCentered="1" headings="1" gridLines="1"/>
  <pageMargins left="0.7" right="0.7" top="1" bottom="0.75" header="0.3" footer="0.3"/>
  <pageSetup scale="74" fitToHeight="0" orientation="portrait" r:id="rId1"/>
  <headerFooter>
    <oddHeader>&amp;C&amp;"-,Bold"&amp;12Rocky Mountain Synod ELCA
&amp;11Statement of Revenues and Expenditures: Operating Fund
FY 2023-2024 Ending January 31, 2024
&amp;"-,Regular"(unaudited)</oddHeader>
    <oddFooter>&amp;CPage &amp;P of &amp;N</oddFooter>
  </headerFooter>
  <rowBreaks count="3" manualBreakCount="3">
    <brk id="74" max="8" man="1"/>
    <brk id="140" max="8" man="1"/>
    <brk id="202" max="8" man="1"/>
  </rowBreaks>
  <ignoredErrors>
    <ignoredError sqref="I209 I211 I90 I7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Total - All funds</vt:lpstr>
      <vt:lpstr>Operating Fund</vt:lpstr>
      <vt:lpstr>'Operating Fund'!Print_Area</vt:lpstr>
      <vt:lpstr>'Total - All funds'!Print_Area</vt:lpstr>
      <vt:lpstr>'Operating Fund'!Print_Titles</vt:lpstr>
      <vt:lpstr>'Total - All funds'!Print_Titles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Johnson</dc:creator>
  <cp:lastModifiedBy>Susan Sharkey</cp:lastModifiedBy>
  <cp:lastPrinted>2024-04-18T22:43:57Z</cp:lastPrinted>
  <dcterms:created xsi:type="dcterms:W3CDTF">2023-03-20T23:11:19Z</dcterms:created>
  <dcterms:modified xsi:type="dcterms:W3CDTF">2024-04-18T22:47:04Z</dcterms:modified>
</cp:coreProperties>
</file>